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101-Three-Statement-Modeling\101-12-Balance-Sheet-Not-Balancing\"/>
    </mc:Choice>
  </mc:AlternateContent>
  <xr:revisionPtr revIDLastSave="0" documentId="13_ncr:1_{C26BF8FB-A179-46B7-BCD7-5B52AB7D2F9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MNST" sheetId="1" r:id="rId1"/>
  </sheets>
  <definedNames>
    <definedName name="Company_Name">MNST!$D$7</definedName>
    <definedName name="Hist_Yr">MNST!$D$9</definedName>
    <definedName name="_xlnm.Print_Area" localSheetId="0">MNST!$A$1:$M$192</definedName>
  </definedNames>
  <calcPr calcId="191029" calcMode="autoNoTable" iterate="1" calcOnSave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8" i="1" l="1"/>
  <c r="L156" i="1"/>
  <c r="K156" i="1"/>
  <c r="J156" i="1"/>
  <c r="I156" i="1"/>
  <c r="H156" i="1"/>
  <c r="H165" i="1" s="1"/>
  <c r="B2" i="1"/>
  <c r="I107" i="1"/>
  <c r="J107" i="1" s="1"/>
  <c r="K107" i="1" s="1"/>
  <c r="L107" i="1" s="1"/>
  <c r="H107" i="1"/>
  <c r="H129" i="1"/>
  <c r="I129" i="1"/>
  <c r="J129" i="1" s="1"/>
  <c r="K129" i="1" s="1"/>
  <c r="L129" i="1" s="1"/>
  <c r="L187" i="1"/>
  <c r="K187" i="1"/>
  <c r="J187" i="1"/>
  <c r="I187" i="1"/>
  <c r="H187" i="1"/>
  <c r="L184" i="1"/>
  <c r="K184" i="1"/>
  <c r="J184" i="1"/>
  <c r="I184" i="1"/>
  <c r="H184" i="1"/>
  <c r="L183" i="1"/>
  <c r="K183" i="1"/>
  <c r="J183" i="1"/>
  <c r="I183" i="1"/>
  <c r="H183" i="1"/>
  <c r="L181" i="1"/>
  <c r="K181" i="1"/>
  <c r="J181" i="1"/>
  <c r="I181" i="1"/>
  <c r="H181" i="1"/>
  <c r="G165" i="1"/>
  <c r="F165" i="1"/>
  <c r="E165" i="1"/>
  <c r="L176" i="1"/>
  <c r="K176" i="1"/>
  <c r="J176" i="1"/>
  <c r="I176" i="1"/>
  <c r="H176" i="1"/>
  <c r="G176" i="1"/>
  <c r="F176" i="1"/>
  <c r="E176" i="1"/>
  <c r="L175" i="1"/>
  <c r="K175" i="1"/>
  <c r="J175" i="1"/>
  <c r="I175" i="1"/>
  <c r="H175" i="1"/>
  <c r="L169" i="1"/>
  <c r="K169" i="1"/>
  <c r="J169" i="1"/>
  <c r="I169" i="1"/>
  <c r="H169" i="1"/>
  <c r="I62" i="1"/>
  <c r="J62" i="1" s="1"/>
  <c r="K62" i="1" s="1"/>
  <c r="L62" i="1" s="1"/>
  <c r="I61" i="1"/>
  <c r="J61" i="1" s="1"/>
  <c r="K61" i="1" s="1"/>
  <c r="L61" i="1" s="1"/>
  <c r="I146" i="1"/>
  <c r="J146" i="1"/>
  <c r="K146" i="1"/>
  <c r="L146" i="1"/>
  <c r="H146" i="1"/>
  <c r="H53" i="1"/>
  <c r="I53" i="1" s="1"/>
  <c r="J53" i="1" s="1"/>
  <c r="K53" i="1" s="1"/>
  <c r="L53" i="1" s="1"/>
  <c r="F53" i="1"/>
  <c r="G53" i="1"/>
  <c r="E53" i="1"/>
  <c r="G66" i="1"/>
  <c r="F66" i="1"/>
  <c r="E66" i="1"/>
  <c r="G65" i="1"/>
  <c r="F65" i="1"/>
  <c r="E65" i="1"/>
  <c r="G64" i="1"/>
  <c r="F64" i="1"/>
  <c r="E64" i="1"/>
  <c r="F62" i="1"/>
  <c r="G62" i="1"/>
  <c r="E62" i="1"/>
  <c r="J68" i="1"/>
  <c r="K68" i="1"/>
  <c r="L68" i="1" s="1"/>
  <c r="I68" i="1"/>
  <c r="H68" i="1"/>
  <c r="F68" i="1"/>
  <c r="G68" i="1"/>
  <c r="E68" i="1"/>
  <c r="G61" i="1"/>
  <c r="F61" i="1"/>
  <c r="E61" i="1"/>
  <c r="G56" i="1"/>
  <c r="F56" i="1"/>
  <c r="E56" i="1"/>
  <c r="G49" i="1"/>
  <c r="F49" i="1"/>
  <c r="E49" i="1"/>
  <c r="G46" i="1"/>
  <c r="F46" i="1"/>
  <c r="E46" i="1"/>
  <c r="G44" i="1"/>
  <c r="F44" i="1"/>
  <c r="E44" i="1"/>
  <c r="G41" i="1"/>
  <c r="F41" i="1"/>
  <c r="E41" i="1"/>
  <c r="G40" i="1"/>
  <c r="F40" i="1"/>
  <c r="E40" i="1"/>
  <c r="G39" i="1"/>
  <c r="F39" i="1"/>
  <c r="E39" i="1"/>
  <c r="G130" i="1"/>
  <c r="F130" i="1"/>
  <c r="E130" i="1"/>
  <c r="G124" i="1"/>
  <c r="F124" i="1"/>
  <c r="E124" i="1"/>
  <c r="G37" i="1"/>
  <c r="F37" i="1"/>
  <c r="E37" i="1"/>
  <c r="G36" i="1"/>
  <c r="F36" i="1"/>
  <c r="E36" i="1"/>
  <c r="G35" i="1"/>
  <c r="F35" i="1"/>
  <c r="E35" i="1"/>
  <c r="G103" i="1"/>
  <c r="F103" i="1"/>
  <c r="E103" i="1"/>
  <c r="G59" i="1"/>
  <c r="F59" i="1"/>
  <c r="E59" i="1"/>
  <c r="G58" i="1"/>
  <c r="F58" i="1"/>
  <c r="E58" i="1"/>
  <c r="G55" i="1"/>
  <c r="F55" i="1"/>
  <c r="E55" i="1"/>
  <c r="G52" i="1"/>
  <c r="F52" i="1"/>
  <c r="E52" i="1"/>
  <c r="D141" i="1"/>
  <c r="H140" i="1"/>
  <c r="E140" i="1"/>
  <c r="G48" i="1"/>
  <c r="F48" i="1"/>
  <c r="E48" i="1"/>
  <c r="G43" i="1"/>
  <c r="F43" i="1"/>
  <c r="E43" i="1"/>
  <c r="G34" i="1"/>
  <c r="F34" i="1"/>
  <c r="E34" i="1"/>
  <c r="H98" i="1"/>
  <c r="D94" i="1"/>
  <c r="H93" i="1"/>
  <c r="E93" i="1"/>
  <c r="H87" i="1"/>
  <c r="H86" i="1"/>
  <c r="D71" i="1"/>
  <c r="H70" i="1"/>
  <c r="E70" i="1"/>
  <c r="G28" i="1"/>
  <c r="F28" i="1"/>
  <c r="G16" i="1"/>
  <c r="F16" i="1"/>
  <c r="E16" i="1"/>
  <c r="G29" i="1"/>
  <c r="G26" i="1"/>
  <c r="F26" i="1"/>
  <c r="E26" i="1"/>
  <c r="G25" i="1"/>
  <c r="F25" i="1"/>
  <c r="E25" i="1"/>
  <c r="G78" i="1"/>
  <c r="G83" i="1" s="1"/>
  <c r="F78" i="1"/>
  <c r="F83" i="1" s="1"/>
  <c r="E78" i="1"/>
  <c r="E83" i="1" s="1"/>
  <c r="I87" i="1" l="1"/>
  <c r="J87" i="1"/>
  <c r="E79" i="1"/>
  <c r="G79" i="1"/>
  <c r="F79" i="1"/>
  <c r="K87" i="1" l="1"/>
  <c r="L87" i="1" l="1"/>
  <c r="I147" i="1" l="1"/>
  <c r="J147" i="1" s="1"/>
  <c r="K147" i="1" s="1"/>
  <c r="L147" i="1" s="1"/>
  <c r="I148" i="1"/>
  <c r="J148" i="1" s="1"/>
  <c r="K148" i="1" s="1"/>
  <c r="L148" i="1" s="1"/>
  <c r="I149" i="1"/>
  <c r="J149" i="1" s="1"/>
  <c r="K149" i="1" s="1"/>
  <c r="L149" i="1" s="1"/>
  <c r="I150" i="1"/>
  <c r="J150" i="1" s="1"/>
  <c r="K150" i="1" s="1"/>
  <c r="L150" i="1" s="1"/>
  <c r="H55" i="1"/>
  <c r="I168" i="1"/>
  <c r="I170" i="1"/>
  <c r="J170" i="1" s="1"/>
  <c r="K170" i="1" s="1"/>
  <c r="L170" i="1" s="1"/>
  <c r="I171" i="1"/>
  <c r="J171" i="1" s="1"/>
  <c r="K171" i="1" s="1"/>
  <c r="L171" i="1" s="1"/>
  <c r="I173" i="1"/>
  <c r="J173" i="1" s="1"/>
  <c r="K173" i="1" s="1"/>
  <c r="L173" i="1" s="1"/>
  <c r="E185" i="1"/>
  <c r="F185" i="1"/>
  <c r="G185" i="1"/>
  <c r="H185" i="1"/>
  <c r="I185" i="1"/>
  <c r="J185" i="1"/>
  <c r="K185" i="1"/>
  <c r="L185" i="1"/>
  <c r="H106" i="1"/>
  <c r="I106" i="1" s="1"/>
  <c r="J106" i="1" s="1"/>
  <c r="H109" i="1"/>
  <c r="I109" i="1" s="1"/>
  <c r="J109" i="1" s="1"/>
  <c r="K109" i="1" s="1"/>
  <c r="L109" i="1" s="1"/>
  <c r="E112" i="1"/>
  <c r="F112" i="1"/>
  <c r="G112" i="1"/>
  <c r="F74" i="1"/>
  <c r="G74" i="1"/>
  <c r="J168" i="1" l="1"/>
  <c r="K168" i="1" s="1"/>
  <c r="L168" i="1" s="1"/>
  <c r="I98" i="1"/>
  <c r="H111" i="1"/>
  <c r="I111" i="1" s="1"/>
  <c r="I55" i="1"/>
  <c r="H44" i="1"/>
  <c r="H40" i="1"/>
  <c r="H37" i="1"/>
  <c r="H56" i="1"/>
  <c r="H39" i="1"/>
  <c r="H52" i="1"/>
  <c r="G114" i="1"/>
  <c r="E114" i="1"/>
  <c r="G132" i="1"/>
  <c r="G136" i="1" s="1"/>
  <c r="E132" i="1"/>
  <c r="E136" i="1" s="1"/>
  <c r="F114" i="1"/>
  <c r="H59" i="1"/>
  <c r="H43" i="1"/>
  <c r="F132" i="1"/>
  <c r="F136" i="1" s="1"/>
  <c r="H46" i="1"/>
  <c r="H34" i="1"/>
  <c r="K106" i="1"/>
  <c r="F84" i="1"/>
  <c r="F89" i="1"/>
  <c r="G89" i="1"/>
  <c r="G84" i="1"/>
  <c r="E89" i="1"/>
  <c r="E84" i="1"/>
  <c r="I17" i="1"/>
  <c r="J17" i="1"/>
  <c r="K17" i="1"/>
  <c r="L17" i="1"/>
  <c r="J98" i="1" l="1"/>
  <c r="K98" i="1" s="1"/>
  <c r="L98" i="1" s="1"/>
  <c r="J111" i="1"/>
  <c r="K111" i="1" s="1"/>
  <c r="L111" i="1" s="1"/>
  <c r="I43" i="1"/>
  <c r="I34" i="1"/>
  <c r="J34" i="1" s="1"/>
  <c r="I46" i="1"/>
  <c r="J46" i="1" s="1"/>
  <c r="I59" i="1"/>
  <c r="J59" i="1" s="1"/>
  <c r="I52" i="1"/>
  <c r="I39" i="1"/>
  <c r="I56" i="1"/>
  <c r="I37" i="1"/>
  <c r="I40" i="1"/>
  <c r="I44" i="1"/>
  <c r="J55" i="1"/>
  <c r="F91" i="1"/>
  <c r="F31" i="1"/>
  <c r="E31" i="1"/>
  <c r="E91" i="1"/>
  <c r="E143" i="1" s="1"/>
  <c r="E190" i="1" s="1"/>
  <c r="E191" i="1" s="1"/>
  <c r="F189" i="1" s="1"/>
  <c r="G91" i="1"/>
  <c r="G143" i="1" s="1"/>
  <c r="G190" i="1" s="1"/>
  <c r="G31" i="1"/>
  <c r="G138" i="1"/>
  <c r="F138" i="1"/>
  <c r="E138" i="1"/>
  <c r="L106" i="1"/>
  <c r="F143" i="1" l="1"/>
  <c r="F190" i="1" s="1"/>
  <c r="F191" i="1" s="1"/>
  <c r="G189" i="1" s="1"/>
  <c r="G191" i="1" s="1"/>
  <c r="H189" i="1" s="1"/>
  <c r="J44" i="1"/>
  <c r="J37" i="1"/>
  <c r="J52" i="1"/>
  <c r="K55" i="1"/>
  <c r="J40" i="1"/>
  <c r="J56" i="1"/>
  <c r="J39" i="1"/>
  <c r="J43" i="1"/>
  <c r="K59" i="1"/>
  <c r="K46" i="1"/>
  <c r="K34" i="1"/>
  <c r="H31" i="1"/>
  <c r="K56" i="1" l="1"/>
  <c r="K39" i="1"/>
  <c r="K40" i="1"/>
  <c r="L55" i="1"/>
  <c r="K52" i="1"/>
  <c r="K37" i="1"/>
  <c r="K44" i="1"/>
  <c r="K43" i="1"/>
  <c r="L59" i="1"/>
  <c r="L46" i="1"/>
  <c r="L34" i="1"/>
  <c r="I31" i="1"/>
  <c r="L43" i="1" l="1"/>
  <c r="L44" i="1"/>
  <c r="L37" i="1"/>
  <c r="L52" i="1"/>
  <c r="L40" i="1"/>
  <c r="L39" i="1"/>
  <c r="L56" i="1"/>
  <c r="J31" i="1"/>
  <c r="E21" i="1"/>
  <c r="F21" i="1"/>
  <c r="G21" i="1"/>
  <c r="K31" i="1" l="1"/>
  <c r="F17" i="1"/>
  <c r="F22" i="1"/>
  <c r="G22" i="1"/>
  <c r="H21" i="1"/>
  <c r="G17" i="1" l="1"/>
  <c r="H17" i="1"/>
  <c r="L31" i="1"/>
  <c r="H14" i="1"/>
  <c r="H73" i="1" s="1"/>
  <c r="H121" i="1" s="1"/>
  <c r="I21" i="1"/>
  <c r="H127" i="1" l="1"/>
  <c r="H172" i="1"/>
  <c r="H151" i="1"/>
  <c r="H174" i="1"/>
  <c r="H110" i="1" s="1"/>
  <c r="H145" i="1"/>
  <c r="H99" i="1"/>
  <c r="H81" i="1"/>
  <c r="H76" i="1"/>
  <c r="H74" i="1"/>
  <c r="J21" i="1"/>
  <c r="I14" i="1"/>
  <c r="I73" i="1" s="1"/>
  <c r="I121" i="1" s="1"/>
  <c r="H128" i="1" l="1"/>
  <c r="H163" i="1" s="1"/>
  <c r="H120" i="1"/>
  <c r="H160" i="1" s="1"/>
  <c r="H119" i="1"/>
  <c r="H159" i="1" s="1"/>
  <c r="H122" i="1"/>
  <c r="H161" i="1" s="1"/>
  <c r="H100" i="1"/>
  <c r="H118" i="1"/>
  <c r="H101" i="1"/>
  <c r="H102" i="1"/>
  <c r="H164" i="1"/>
  <c r="H154" i="1"/>
  <c r="I127" i="1"/>
  <c r="I172" i="1"/>
  <c r="I151" i="1"/>
  <c r="I99" i="1"/>
  <c r="I174" i="1"/>
  <c r="I110" i="1" s="1"/>
  <c r="I145" i="1"/>
  <c r="H78" i="1"/>
  <c r="H79" i="1" s="1"/>
  <c r="I81" i="1"/>
  <c r="I76" i="1"/>
  <c r="I74" i="1"/>
  <c r="K21" i="1"/>
  <c r="J14" i="1"/>
  <c r="J73" i="1" s="1"/>
  <c r="J121" i="1" s="1"/>
  <c r="I100" i="1" l="1"/>
  <c r="I155" i="1" s="1"/>
  <c r="I118" i="1"/>
  <c r="I128" i="1"/>
  <c r="I163" i="1" s="1"/>
  <c r="I120" i="1"/>
  <c r="I160" i="1" s="1"/>
  <c r="I122" i="1"/>
  <c r="I161" i="1" s="1"/>
  <c r="I119" i="1"/>
  <c r="I159" i="1" s="1"/>
  <c r="H130" i="1"/>
  <c r="H158" i="1"/>
  <c r="I101" i="1"/>
  <c r="I102" i="1"/>
  <c r="I164" i="1"/>
  <c r="H83" i="1"/>
  <c r="H89" i="1" s="1"/>
  <c r="H90" i="1" s="1"/>
  <c r="H152" i="1" s="1"/>
  <c r="J127" i="1"/>
  <c r="J172" i="1"/>
  <c r="J174" i="1"/>
  <c r="J110" i="1" s="1"/>
  <c r="J99" i="1"/>
  <c r="J151" i="1"/>
  <c r="J145" i="1"/>
  <c r="I154" i="1"/>
  <c r="I78" i="1"/>
  <c r="I83" i="1" s="1"/>
  <c r="I84" i="1" s="1"/>
  <c r="H157" i="1"/>
  <c r="H155" i="1"/>
  <c r="J81" i="1"/>
  <c r="J76" i="1"/>
  <c r="J74" i="1"/>
  <c r="L21" i="1"/>
  <c r="L14" i="1" s="1"/>
  <c r="L73" i="1" s="1"/>
  <c r="L121" i="1" s="1"/>
  <c r="K14" i="1"/>
  <c r="K73" i="1" s="1"/>
  <c r="K121" i="1" s="1"/>
  <c r="J100" i="1" l="1"/>
  <c r="J155" i="1" s="1"/>
  <c r="J118" i="1"/>
  <c r="J128" i="1"/>
  <c r="J120" i="1"/>
  <c r="J119" i="1"/>
  <c r="J159" i="1" s="1"/>
  <c r="J122" i="1"/>
  <c r="I130" i="1"/>
  <c r="J164" i="1"/>
  <c r="I158" i="1"/>
  <c r="H84" i="1"/>
  <c r="J101" i="1"/>
  <c r="J102" i="1"/>
  <c r="J157" i="1" s="1"/>
  <c r="L172" i="1"/>
  <c r="L127" i="1"/>
  <c r="L99" i="1"/>
  <c r="L151" i="1"/>
  <c r="L174" i="1"/>
  <c r="L145" i="1"/>
  <c r="I79" i="1"/>
  <c r="J154" i="1"/>
  <c r="K127" i="1"/>
  <c r="K172" i="1"/>
  <c r="K99" i="1"/>
  <c r="K174" i="1"/>
  <c r="K110" i="1" s="1"/>
  <c r="K151" i="1"/>
  <c r="K145" i="1"/>
  <c r="J163" i="1"/>
  <c r="J160" i="1"/>
  <c r="J161" i="1"/>
  <c r="J78" i="1"/>
  <c r="J83" i="1" s="1"/>
  <c r="I157" i="1"/>
  <c r="H123" i="1"/>
  <c r="L81" i="1"/>
  <c r="L76" i="1"/>
  <c r="K81" i="1"/>
  <c r="K76" i="1"/>
  <c r="L74" i="1"/>
  <c r="K74" i="1"/>
  <c r="K100" i="1" l="1"/>
  <c r="K155" i="1" s="1"/>
  <c r="K118" i="1"/>
  <c r="K128" i="1"/>
  <c r="K120" i="1"/>
  <c r="K160" i="1" s="1"/>
  <c r="K122" i="1"/>
  <c r="K161" i="1" s="1"/>
  <c r="K119" i="1"/>
  <c r="K159" i="1" s="1"/>
  <c r="L100" i="1"/>
  <c r="L118" i="1"/>
  <c r="L128" i="1"/>
  <c r="L120" i="1"/>
  <c r="L119" i="1"/>
  <c r="L122" i="1"/>
  <c r="L154" i="1"/>
  <c r="K164" i="1"/>
  <c r="J130" i="1"/>
  <c r="J158" i="1"/>
  <c r="J79" i="1"/>
  <c r="K101" i="1"/>
  <c r="K102" i="1"/>
  <c r="L101" i="1"/>
  <c r="L102" i="1"/>
  <c r="L164" i="1"/>
  <c r="K154" i="1"/>
  <c r="L110" i="1"/>
  <c r="K78" i="1"/>
  <c r="K83" i="1" s="1"/>
  <c r="K84" i="1" s="1"/>
  <c r="K163" i="1"/>
  <c r="L78" i="1"/>
  <c r="L83" i="1" s="1"/>
  <c r="L84" i="1" s="1"/>
  <c r="H91" i="1"/>
  <c r="H143" i="1" s="1"/>
  <c r="H134" i="1" s="1"/>
  <c r="J84" i="1"/>
  <c r="L160" i="1" l="1"/>
  <c r="L159" i="1"/>
  <c r="L163" i="1"/>
  <c r="K130" i="1"/>
  <c r="L130" i="1"/>
  <c r="L158" i="1"/>
  <c r="K158" i="1"/>
  <c r="H162" i="1"/>
  <c r="H190" i="1" s="1"/>
  <c r="H191" i="1" s="1"/>
  <c r="H124" i="1"/>
  <c r="H132" i="1" s="1"/>
  <c r="L161" i="1"/>
  <c r="K79" i="1"/>
  <c r="L157" i="1"/>
  <c r="L79" i="1"/>
  <c r="L155" i="1"/>
  <c r="K157" i="1"/>
  <c r="H112" i="1"/>
  <c r="G12" i="1"/>
  <c r="G141" i="1" l="1"/>
  <c r="G94" i="1"/>
  <c r="G71" i="1"/>
  <c r="I189" i="1"/>
  <c r="H97" i="1"/>
  <c r="H136" i="1"/>
  <c r="H12" i="1"/>
  <c r="F12" i="1"/>
  <c r="I86" i="1" l="1"/>
  <c r="I89" i="1" s="1"/>
  <c r="I90" i="1" s="1"/>
  <c r="I152" i="1" s="1"/>
  <c r="I108" i="1" s="1"/>
  <c r="H103" i="1"/>
  <c r="H114" i="1" s="1"/>
  <c r="H138" i="1" s="1"/>
  <c r="H71" i="1"/>
  <c r="H141" i="1"/>
  <c r="H94" i="1"/>
  <c r="F141" i="1"/>
  <c r="F71" i="1"/>
  <c r="F94" i="1"/>
  <c r="I12" i="1"/>
  <c r="E12" i="1"/>
  <c r="E71" i="1" l="1"/>
  <c r="E141" i="1"/>
  <c r="E94" i="1"/>
  <c r="I71" i="1"/>
  <c r="I94" i="1"/>
  <c r="I141" i="1"/>
  <c r="I123" i="1"/>
  <c r="J12" i="1"/>
  <c r="J71" i="1" l="1"/>
  <c r="J94" i="1"/>
  <c r="J141" i="1"/>
  <c r="I112" i="1"/>
  <c r="I91" i="1"/>
  <c r="I143" i="1" s="1"/>
  <c r="K12" i="1"/>
  <c r="I134" i="1" l="1"/>
  <c r="I162" i="1"/>
  <c r="I124" i="1"/>
  <c r="I132" i="1" s="1"/>
  <c r="K71" i="1"/>
  <c r="K141" i="1"/>
  <c r="K94" i="1"/>
  <c r="L12" i="1"/>
  <c r="I136" i="1" l="1"/>
  <c r="I165" i="1"/>
  <c r="I190" i="1" s="1"/>
  <c r="I191" i="1" s="1"/>
  <c r="L141" i="1"/>
  <c r="L71" i="1"/>
  <c r="L94" i="1"/>
  <c r="I97" i="1" l="1"/>
  <c r="J189" i="1"/>
  <c r="J86" i="1" l="1"/>
  <c r="J89" i="1" s="1"/>
  <c r="J90" i="1" s="1"/>
  <c r="J152" i="1" s="1"/>
  <c r="J108" i="1" s="1"/>
  <c r="I103" i="1"/>
  <c r="I114" i="1" s="1"/>
  <c r="I138" i="1" s="1"/>
  <c r="J123" i="1" l="1"/>
  <c r="J91" i="1"/>
  <c r="J143" i="1" s="1"/>
  <c r="J112" i="1"/>
  <c r="J134" i="1" l="1"/>
  <c r="J162" i="1"/>
  <c r="J124" i="1"/>
  <c r="J132" i="1" s="1"/>
  <c r="J136" i="1" l="1"/>
  <c r="J165" i="1"/>
  <c r="J190" i="1" s="1"/>
  <c r="J191" i="1" s="1"/>
  <c r="J97" i="1" l="1"/>
  <c r="K189" i="1"/>
  <c r="J103" i="1" l="1"/>
  <c r="J114" i="1" s="1"/>
  <c r="J138" i="1" s="1"/>
  <c r="K86" i="1"/>
  <c r="K89" i="1" s="1"/>
  <c r="K90" i="1" s="1"/>
  <c r="K152" i="1" l="1"/>
  <c r="K123" i="1"/>
  <c r="K162" i="1" s="1"/>
  <c r="K91" i="1"/>
  <c r="K143" i="1" s="1"/>
  <c r="K108" i="1" l="1"/>
  <c r="K124" i="1"/>
  <c r="K132" i="1" s="1"/>
  <c r="K134" i="1"/>
  <c r="K165" i="1"/>
  <c r="K190" i="1" s="1"/>
  <c r="K191" i="1" s="1"/>
  <c r="K112" i="1" l="1"/>
  <c r="K136" i="1"/>
  <c r="L189" i="1"/>
  <c r="K97" i="1"/>
  <c r="L86" i="1" s="1"/>
  <c r="L89" i="1" s="1"/>
  <c r="K103" i="1" l="1"/>
  <c r="K114" i="1" s="1"/>
  <c r="K138" i="1" s="1"/>
  <c r="L90" i="1"/>
  <c r="L91" i="1" s="1"/>
  <c r="L152" i="1" l="1"/>
  <c r="L108" i="1" s="1"/>
  <c r="L123" i="1"/>
  <c r="L162" i="1" s="1"/>
  <c r="L143" i="1"/>
  <c r="L112" i="1" l="1"/>
  <c r="L134" i="1"/>
  <c r="L165" i="1"/>
  <c r="L190" i="1" s="1"/>
  <c r="L191" i="1" s="1"/>
  <c r="L97" i="1" s="1"/>
  <c r="L124" i="1"/>
  <c r="L132" i="1" s="1"/>
  <c r="L136" i="1" l="1"/>
  <c r="L103" i="1"/>
  <c r="L114" i="1" s="1"/>
  <c r="L138" i="1" l="1"/>
</calcChain>
</file>

<file path=xl/sharedStrings.xml><?xml version="1.0" encoding="utf-8"?>
<sst xmlns="http://schemas.openxmlformats.org/spreadsheetml/2006/main" count="274" uniqueCount="136">
  <si>
    <t>General Assumptions:</t>
  </si>
  <si>
    <t>Company Name:</t>
  </si>
  <si>
    <t>Ticker:</t>
  </si>
  <si>
    <t>Last Historical Year:</t>
  </si>
  <si>
    <t>($ in Millions Except Per Share and Per Unit Data)</t>
  </si>
  <si>
    <t>Income Statement:</t>
  </si>
  <si>
    <t>Gross Profit:</t>
  </si>
  <si>
    <t>Net Income:</t>
  </si>
  <si>
    <t>Balance Sheet:</t>
  </si>
  <si>
    <t>Cash &amp; Equivalents:</t>
  </si>
  <si>
    <t>Inventory:</t>
  </si>
  <si>
    <t>Total Current Assets:</t>
  </si>
  <si>
    <t>Other Long-Term Assets:</t>
  </si>
  <si>
    <t>Total Assets:</t>
  </si>
  <si>
    <t>Accounts Payable:</t>
  </si>
  <si>
    <t>Total Current Liabilities:</t>
  </si>
  <si>
    <t>Total Liabilities:</t>
  </si>
  <si>
    <t>Cash Flow Statement:</t>
  </si>
  <si>
    <t>Revenue Growth:</t>
  </si>
  <si>
    <t>Total Revenue:</t>
  </si>
  <si>
    <t>Operating Income (EBIT):</t>
  </si>
  <si>
    <t>Operating (EBIT) Margin:</t>
  </si>
  <si>
    <t>Pre-Tax Income:</t>
  </si>
  <si>
    <t>ASSETS:</t>
  </si>
  <si>
    <t>Current Assets:</t>
  </si>
  <si>
    <t>Non-Current Assets:</t>
  </si>
  <si>
    <t>Total Non-Current Assets:</t>
  </si>
  <si>
    <t>LIABILITIES AND EQUITY:</t>
  </si>
  <si>
    <t>Current Liabilities:</t>
  </si>
  <si>
    <t>Non-Current Liabilities:</t>
  </si>
  <si>
    <t>Balance Check:</t>
  </si>
  <si>
    <t>CASH FLOWS FROM OPERATING ACTIVITIES:</t>
  </si>
  <si>
    <t/>
  </si>
  <si>
    <t>Adjustments for Non-Cash Charges:</t>
  </si>
  <si>
    <t>Changes in Operating Assets and Liabilities:</t>
  </si>
  <si>
    <t>Net Cash Provided by Operating Activities:</t>
  </si>
  <si>
    <t>CASH FLOWS FROM INVESTING ACTIVITIES:</t>
  </si>
  <si>
    <t>Net Cash Used in Investing Activities:</t>
  </si>
  <si>
    <t>CASH FLOWS FROM FINANCING ACTIVITIES:</t>
  </si>
  <si>
    <t>Net Cash Provided by Financing Activities:</t>
  </si>
  <si>
    <t>Beginning Cash:</t>
  </si>
  <si>
    <t>Ending Cash:</t>
  </si>
  <si>
    <t>Units:</t>
  </si>
  <si>
    <t>%</t>
  </si>
  <si>
    <t>Total Liabilities &amp; Equity:</t>
  </si>
  <si>
    <t>Accounts Receivable:</t>
  </si>
  <si>
    <t>$ M</t>
  </si>
  <si>
    <t>Net PP&amp;E:</t>
  </si>
  <si>
    <t>Prepaid Expenses &amp; Other Assets:</t>
  </si>
  <si>
    <t>FX Rate Effects:</t>
  </si>
  <si>
    <t>Total Non-Current Liabilities:</t>
  </si>
  <si>
    <t>Accrued Liabilities:</t>
  </si>
  <si>
    <t>Deferred Revenue:</t>
  </si>
  <si>
    <t>M</t>
  </si>
  <si>
    <t>$</t>
  </si>
  <si>
    <t>Monster Market Share - Units:</t>
  </si>
  <si>
    <t>Energy Drink Market Size - Units:</t>
  </si>
  <si>
    <t>Growth Rate:</t>
  </si>
  <si>
    <t>Short-Term Investments:</t>
  </si>
  <si>
    <t>Deferred Tax Assets:</t>
  </si>
  <si>
    <t>(+/-) Change in Cash &amp; Cash Equivalents:</t>
  </si>
  <si>
    <t>Monster Beverage Corporation</t>
  </si>
  <si>
    <t>MNST</t>
  </si>
  <si>
    <t>Prepaid Income Taxes:</t>
  </si>
  <si>
    <t>Investments:</t>
  </si>
  <si>
    <t>Goodwill:</t>
  </si>
  <si>
    <t>Other Intangible Assets:</t>
  </si>
  <si>
    <t>Accrued Promotional Allowances:</t>
  </si>
  <si>
    <t>Accrued Compensation:</t>
  </si>
  <si>
    <t>Income Taxes Payable:</t>
  </si>
  <si>
    <t>Other Liabilities:</t>
  </si>
  <si>
    <t>Long-Term Debt:</t>
  </si>
  <si>
    <t>Total Equity:</t>
  </si>
  <si>
    <t>Non-Cash Lease Expense:</t>
  </si>
  <si>
    <t>Stock-Based Compensation:</t>
  </si>
  <si>
    <t>Deferred Income Taxes:</t>
  </si>
  <si>
    <t>Inventories:</t>
  </si>
  <si>
    <t>Prepaid Expenses And Other Assets:</t>
  </si>
  <si>
    <t>Decrease (Increase) in Other Assets:</t>
  </si>
  <si>
    <t>Additions to Intangibles:</t>
  </si>
  <si>
    <t>Proceeds from Sale of Property &amp; Equipment:</t>
  </si>
  <si>
    <t>Acquisition of Monster Brewing, Net of Cash:</t>
  </si>
  <si>
    <t>Acquisition of Bang Energy:</t>
  </si>
  <si>
    <t>Purchases of Available-For-Sale Investments:</t>
  </si>
  <si>
    <t>Sales of Available-For-Sale Investments:</t>
  </si>
  <si>
    <t>(Payments) Borrowings on Short-Term Debt:</t>
  </si>
  <si>
    <t>Borrowings on Credit Facilities:</t>
  </si>
  <si>
    <t>Payments on Credit Facilities:</t>
  </si>
  <si>
    <t>Payments for Debt Issuance Costs:</t>
  </si>
  <si>
    <t>Issuance of Common Stock:</t>
  </si>
  <si>
    <t>Gain on Bang Transaction:</t>
  </si>
  <si>
    <t>Impairment of Goodwill &amp; Other Intangibles:</t>
  </si>
  <si>
    <t>Impairment of Property &amp; Equipment:</t>
  </si>
  <si>
    <t>Loss (Gain) on Disposal of Property &amp; Equipment:</t>
  </si>
  <si>
    <t>Depreciation &amp; Amortization:</t>
  </si>
  <si>
    <t>Total Case Sales:</t>
  </si>
  <si>
    <t>Average Net Sales per Case:</t>
  </si>
  <si>
    <t>Tax Rate:</t>
  </si>
  <si>
    <t>Revenue Drivers:</t>
  </si>
  <si>
    <t>Historical:</t>
  </si>
  <si>
    <t>Projected:</t>
  </si>
  <si>
    <t>Assumptions and Drivers:</t>
  </si>
  <si>
    <t>Expense Drivers:</t>
  </si>
  <si>
    <t>Cost of Sales % Revenue:</t>
  </si>
  <si>
    <t>Operating Expenses % Revenue:</t>
  </si>
  <si>
    <t>(-) Cost of Sales:</t>
  </si>
  <si>
    <t>(-) Operating Expenses:</t>
  </si>
  <si>
    <t>Gross Margin:</t>
  </si>
  <si>
    <t>Interest Income - Interest Rate:</t>
  </si>
  <si>
    <t>Other Income / Expense - Interest Rate:</t>
  </si>
  <si>
    <t>(+) Interest Income:</t>
  </si>
  <si>
    <t>(+) Other Income / (-) Expense:</t>
  </si>
  <si>
    <t>(-) Provision For Income Taxes:</t>
  </si>
  <si>
    <t>Balance Sheet Drivers:</t>
  </si>
  <si>
    <t>Accounts Receivable % Revenue:</t>
  </si>
  <si>
    <t>Inventory % Cost of Sales:</t>
  </si>
  <si>
    <t>Prepaid Expenses % Operating Expenses:</t>
  </si>
  <si>
    <t>Prepaid Income Taxes % Operating Expenses:</t>
  </si>
  <si>
    <t>Accounts Payable % Cost of Sales:</t>
  </si>
  <si>
    <t>Accrued Liabilities % OpEx:</t>
  </si>
  <si>
    <t>Accrued Promotional Allowances % Operating Expenses:</t>
  </si>
  <si>
    <t>Short-Term Deferred Revenue % Revenue:</t>
  </si>
  <si>
    <t>Accrued Compensation % Operating Expenses:</t>
  </si>
  <si>
    <t>Income Taxes Payable % Book Taxes:</t>
  </si>
  <si>
    <t>Long-Term Deferred Revenue % Revenue:</t>
  </si>
  <si>
    <t>Other Liabilities % Operating Expenses:</t>
  </si>
  <si>
    <t>Cash Flow Statement Drivers:</t>
  </si>
  <si>
    <t>D&amp;A % Revenue:</t>
  </si>
  <si>
    <t>SBC % Revenue:</t>
  </si>
  <si>
    <t>Deferred Taxes % Book Taxes:</t>
  </si>
  <si>
    <t>Capital Expenditures (CapEx):</t>
  </si>
  <si>
    <t>Stock Repurchases:</t>
  </si>
  <si>
    <t>CapEx % Revenue:</t>
  </si>
  <si>
    <t>Additions to Intangibles % Revenue:</t>
  </si>
  <si>
    <t>Non-Cash Lease Expense % Revenue:</t>
  </si>
  <si>
    <t>FX Rate Effects % Revenue: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</si>
</sst>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"/>
    <numFmt numFmtId="165" formatCode="&quot;FY&quot;yy"/>
    <numFmt numFmtId="166" formatCode="_(#,##0.0%_);\(#,##0.0%\);_(&quot;–&quot;_)_%;_(@_)_%"/>
    <numFmt numFmtId="167" formatCode="_(* #,##0.0_);_(* \(#,##0.0\);_(* &quot;-&quot;?_);_(@_)"/>
    <numFmt numFmtId="168" formatCode="0.0%"/>
    <numFmt numFmtId="169" formatCode="_(&quot;$&quot;* #,##0.0_);_(&quot;$&quot;* \(#,##0.0\);_(&quot;$&quot;* &quot;-&quot;?_);_(@_)"/>
    <numFmt numFmtId="170" formatCode="_(* #,##0.000_);_(* \(#,##0.000\);_(* &quot;-&quot;?_);_(@_)"/>
    <numFmt numFmtId="171" formatCode="0.0%;\(0.0%\)"/>
    <numFmt numFmtId="172" formatCode="#,##0.0_);\(#,##0.0\)"/>
    <numFmt numFmtId="173" formatCode="_(* #,##0.000_);_(* \(#,##0.000\);_(* &quot;-&quot;??_);_(@_)"/>
    <numFmt numFmtId="174" formatCode="&quot;$&quot;#,##0.000;\(&quot;$&quot;#,##0.000\);&quot;OK!&quot;;&quot;ERROR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i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FF"/>
      <name val="Calibri"/>
      <family val="2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FF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88">
    <xf numFmtId="0" fontId="0" fillId="0" borderId="0" xfId="0"/>
    <xf numFmtId="39" fontId="3" fillId="5" borderId="2" xfId="1" applyNumberFormat="1" applyFont="1" applyFill="1" applyBorder="1" applyAlignment="1">
      <alignment horizontal="centerContinuous"/>
    </xf>
    <xf numFmtId="0" fontId="4" fillId="0" borderId="0" xfId="0" applyFont="1"/>
    <xf numFmtId="0" fontId="5" fillId="3" borderId="6" xfId="0" applyFont="1" applyFill="1" applyBorder="1"/>
    <xf numFmtId="0" fontId="6" fillId="3" borderId="6" xfId="0" applyFont="1" applyFill="1" applyBorder="1"/>
    <xf numFmtId="0" fontId="7" fillId="3" borderId="6" xfId="0" applyFont="1" applyFill="1" applyBorder="1"/>
    <xf numFmtId="0" fontId="3" fillId="5" borderId="1" xfId="1" applyFont="1" applyFill="1" applyAlignment="1">
      <alignment horizontal="center"/>
    </xf>
    <xf numFmtId="164" fontId="3" fillId="5" borderId="1" xfId="1" applyNumberFormat="1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8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167" fontId="3" fillId="0" borderId="0" xfId="0" applyNumberFormat="1" applyFont="1"/>
    <xf numFmtId="0" fontId="4" fillId="0" borderId="0" xfId="0" applyFont="1" applyAlignment="1">
      <alignment horizontal="left"/>
    </xf>
    <xf numFmtId="167" fontId="4" fillId="0" borderId="0" xfId="0" applyNumberFormat="1" applyFont="1"/>
    <xf numFmtId="49" fontId="4" fillId="4" borderId="6" xfId="0" applyNumberFormat="1" applyFont="1" applyFill="1" applyBorder="1"/>
    <xf numFmtId="0" fontId="9" fillId="0" borderId="0" xfId="0" applyFont="1"/>
    <xf numFmtId="0" fontId="4" fillId="0" borderId="7" xfId="0" applyFont="1" applyBorder="1" applyAlignment="1">
      <alignment horizontal="left"/>
    </xf>
    <xf numFmtId="0" fontId="4" fillId="0" borderId="7" xfId="0" applyFont="1" applyBorder="1"/>
    <xf numFmtId="171" fontId="10" fillId="5" borderId="1" xfId="1" applyNumberFormat="1" applyFont="1" applyFill="1" applyAlignment="1">
      <alignment horizontal="center"/>
    </xf>
    <xf numFmtId="0" fontId="5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/>
    <xf numFmtId="39" fontId="3" fillId="5" borderId="1" xfId="1" applyNumberFormat="1" applyFont="1" applyFill="1" applyAlignment="1">
      <alignment horizontal="centerContinuous"/>
    </xf>
    <xf numFmtId="167" fontId="13" fillId="0" borderId="0" xfId="0" applyNumberFormat="1" applyFont="1"/>
    <xf numFmtId="168" fontId="14" fillId="0" borderId="0" xfId="0" applyNumberFormat="1" applyFont="1"/>
    <xf numFmtId="167" fontId="13" fillId="0" borderId="7" xfId="0" applyNumberFormat="1" applyFont="1" applyBorder="1"/>
    <xf numFmtId="169" fontId="13" fillId="0" borderId="7" xfId="0" applyNumberFormat="1" applyFont="1" applyBorder="1"/>
    <xf numFmtId="169" fontId="13" fillId="0" borderId="0" xfId="0" applyNumberFormat="1" applyFont="1"/>
    <xf numFmtId="167" fontId="11" fillId="0" borderId="0" xfId="0" applyNumberFormat="1" applyFont="1"/>
    <xf numFmtId="0" fontId="9" fillId="0" borderId="7" xfId="0" applyFont="1" applyBorder="1" applyAlignment="1">
      <alignment horizontal="center"/>
    </xf>
    <xf numFmtId="0" fontId="15" fillId="0" borderId="0" xfId="0" applyFont="1"/>
    <xf numFmtId="166" fontId="3" fillId="0" borderId="0" xfId="0" applyNumberFormat="1" applyFont="1"/>
    <xf numFmtId="172" fontId="3" fillId="0" borderId="0" xfId="0" applyNumberFormat="1" applyFont="1"/>
    <xf numFmtId="171" fontId="10" fillId="0" borderId="0" xfId="1" applyNumberFormat="1" applyFont="1" applyFill="1" applyBorder="1" applyAlignment="1"/>
    <xf numFmtId="172" fontId="11" fillId="0" borderId="0" xfId="0" applyNumberFormat="1" applyFont="1"/>
    <xf numFmtId="44" fontId="3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indent="1"/>
    </xf>
    <xf numFmtId="49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/>
    </xf>
    <xf numFmtId="0" fontId="1" fillId="0" borderId="0" xfId="0" applyFont="1"/>
    <xf numFmtId="170" fontId="3" fillId="0" borderId="0" xfId="0" applyNumberFormat="1" applyFont="1"/>
    <xf numFmtId="166" fontId="1" fillId="0" borderId="0" xfId="0" applyNumberFormat="1" applyFont="1"/>
    <xf numFmtId="168" fontId="16" fillId="0" borderId="0" xfId="0" applyNumberFormat="1" applyFont="1"/>
    <xf numFmtId="44" fontId="1" fillId="0" borderId="0" xfId="0" applyNumberFormat="1" applyFont="1"/>
    <xf numFmtId="43" fontId="1" fillId="0" borderId="0" xfId="0" applyNumberFormat="1" applyFont="1"/>
    <xf numFmtId="167" fontId="1" fillId="0" borderId="0" xfId="0" applyNumberFormat="1" applyFont="1"/>
    <xf numFmtId="170" fontId="1" fillId="0" borderId="0" xfId="0" applyNumberFormat="1" applyFont="1"/>
    <xf numFmtId="168" fontId="1" fillId="0" borderId="0" xfId="0" applyNumberFormat="1" applyFont="1" applyAlignment="1">
      <alignment horizontal="right"/>
    </xf>
    <xf numFmtId="169" fontId="1" fillId="0" borderId="0" xfId="0" applyNumberFormat="1" applyFont="1"/>
    <xf numFmtId="173" fontId="1" fillId="0" borderId="0" xfId="0" applyNumberFormat="1" applyFont="1"/>
    <xf numFmtId="169" fontId="12" fillId="0" borderId="0" xfId="0" applyNumberFormat="1" applyFont="1"/>
    <xf numFmtId="171" fontId="3" fillId="5" borderId="1" xfId="0" applyNumberFormat="1" applyFont="1" applyFill="1" applyBorder="1" applyAlignment="1">
      <alignment horizontal="center"/>
    </xf>
    <xf numFmtId="171" fontId="11" fillId="5" borderId="1" xfId="0" applyNumberFormat="1" applyFont="1" applyFill="1" applyBorder="1" applyAlignment="1">
      <alignment horizontal="center"/>
    </xf>
    <xf numFmtId="166" fontId="11" fillId="0" borderId="0" xfId="0" applyNumberFormat="1" applyFont="1"/>
    <xf numFmtId="166" fontId="3" fillId="5" borderId="1" xfId="0" applyNumberFormat="1" applyFont="1" applyFill="1" applyBorder="1" applyAlignment="1">
      <alignment horizontal="center"/>
    </xf>
    <xf numFmtId="166" fontId="11" fillId="5" borderId="1" xfId="0" applyNumberFormat="1" applyFont="1" applyFill="1" applyBorder="1" applyAlignment="1">
      <alignment horizontal="center"/>
    </xf>
    <xf numFmtId="167" fontId="17" fillId="5" borderId="1" xfId="0" applyNumberFormat="1" applyFont="1" applyFill="1" applyBorder="1" applyAlignment="1">
      <alignment horizontal="center"/>
    </xf>
    <xf numFmtId="166" fontId="10" fillId="0" borderId="0" xfId="1" applyNumberFormat="1" applyFont="1" applyFill="1" applyBorder="1" applyAlignment="1"/>
    <xf numFmtId="167" fontId="3" fillId="5" borderId="1" xfId="0" applyNumberFormat="1" applyFont="1" applyFill="1" applyBorder="1" applyAlignment="1">
      <alignment horizontal="center"/>
    </xf>
    <xf numFmtId="7" fontId="1" fillId="0" borderId="0" xfId="0" applyNumberFormat="1" applyFont="1"/>
    <xf numFmtId="174" fontId="9" fillId="0" borderId="0" xfId="0" applyNumberFormat="1" applyFont="1"/>
    <xf numFmtId="0" fontId="1" fillId="6" borderId="0" xfId="0" applyFont="1" applyFill="1" applyAlignment="1">
      <alignment horizontal="left" indent="1"/>
    </xf>
    <xf numFmtId="0" fontId="9" fillId="6" borderId="0" xfId="0" applyFont="1" applyFill="1" applyAlignment="1">
      <alignment horizontal="center"/>
    </xf>
    <xf numFmtId="167" fontId="3" fillId="6" borderId="0" xfId="0" applyNumberFormat="1" applyFont="1" applyFill="1"/>
    <xf numFmtId="167" fontId="1" fillId="6" borderId="0" xfId="0" applyNumberFormat="1" applyFont="1" applyFill="1"/>
    <xf numFmtId="169" fontId="3" fillId="6" borderId="0" xfId="0" applyNumberFormat="1" applyFont="1" applyFill="1"/>
    <xf numFmtId="169" fontId="11" fillId="6" borderId="0" xfId="0" applyNumberFormat="1" applyFont="1" applyFill="1"/>
    <xf numFmtId="167" fontId="11" fillId="6" borderId="0" xfId="0" applyNumberFormat="1" applyFont="1" applyFill="1"/>
    <xf numFmtId="0" fontId="1" fillId="6" borderId="6" xfId="0" applyFont="1" applyFill="1" applyBorder="1" applyAlignment="1">
      <alignment horizontal="left" indent="1"/>
    </xf>
    <xf numFmtId="0" fontId="9" fillId="6" borderId="6" xfId="0" applyFont="1" applyFill="1" applyBorder="1" applyAlignment="1">
      <alignment horizontal="center"/>
    </xf>
    <xf numFmtId="167" fontId="3" fillId="6" borderId="6" xfId="0" applyNumberFormat="1" applyFont="1" applyFill="1" applyBorder="1"/>
    <xf numFmtId="167" fontId="1" fillId="6" borderId="6" xfId="0" applyNumberFormat="1" applyFont="1" applyFill="1" applyBorder="1"/>
    <xf numFmtId="169" fontId="1" fillId="6" borderId="0" xfId="0" applyNumberFormat="1" applyFont="1" applyFill="1"/>
    <xf numFmtId="0" fontId="4" fillId="6" borderId="0" xfId="0" applyFont="1" applyFill="1"/>
    <xf numFmtId="169" fontId="13" fillId="6" borderId="0" xfId="0" applyNumberFormat="1" applyFont="1" applyFill="1"/>
    <xf numFmtId="49" fontId="1" fillId="6" borderId="0" xfId="0" applyNumberFormat="1" applyFont="1" applyFill="1" applyAlignment="1">
      <alignment horizontal="left" indent="1"/>
    </xf>
    <xf numFmtId="167" fontId="17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left"/>
    </xf>
    <xf numFmtId="167" fontId="12" fillId="6" borderId="0" xfId="0" applyNumberFormat="1" applyFont="1" applyFill="1"/>
    <xf numFmtId="167" fontId="4" fillId="6" borderId="0" xfId="0" applyNumberFormat="1" applyFont="1" applyFill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O191"/>
  <sheetViews>
    <sheetView showGridLines="0" tabSelected="1" topLeftCell="A94" zoomScaleNormal="100" workbookViewId="0">
      <selection activeCell="B94" sqref="B94"/>
    </sheetView>
  </sheetViews>
  <sheetFormatPr defaultColWidth="9.15234375" defaultRowHeight="15.9" outlineLevelRow="1" outlineLevelCol="1" x14ac:dyDescent="0.45"/>
  <cols>
    <col min="1" max="2" width="2.69140625" style="47" customWidth="1"/>
    <col min="3" max="3" width="51.69140625" style="47" bestFit="1" customWidth="1"/>
    <col min="4" max="4" width="12.69140625" style="47" customWidth="1"/>
    <col min="5" max="7" width="12.69140625" style="47" customWidth="1" outlineLevel="1"/>
    <col min="8" max="8" width="12.69140625" style="47" bestFit="1" customWidth="1"/>
    <col min="9" max="12" width="11.69140625" style="47" customWidth="1"/>
    <col min="13" max="14" width="2.69140625" style="47" customWidth="1"/>
    <col min="15" max="22" width="11.69140625" style="47" customWidth="1"/>
    <col min="23" max="16384" width="9.15234375" style="47"/>
  </cols>
  <sheetData>
    <row r="2" spans="2:12" ht="18.45" x14ac:dyDescent="0.5">
      <c r="B2" s="38" t="str">
        <f>Company_Name&amp;" - 3-Statement Model"</f>
        <v>Monster Beverage Corporation - 3-Statement Model</v>
      </c>
    </row>
    <row r="3" spans="2:12" x14ac:dyDescent="0.45">
      <c r="B3" s="47" t="s">
        <v>4</v>
      </c>
    </row>
    <row r="5" spans="2:12" x14ac:dyDescent="0.45">
      <c r="B5" s="3" t="s">
        <v>0</v>
      </c>
      <c r="C5" s="4"/>
      <c r="D5" s="5"/>
      <c r="E5" s="4"/>
      <c r="F5" s="4"/>
      <c r="G5" s="4"/>
      <c r="H5" s="4"/>
      <c r="I5" s="5"/>
      <c r="J5" s="4"/>
      <c r="K5" s="4"/>
      <c r="L5" s="4"/>
    </row>
    <row r="6" spans="2:12" outlineLevel="1" x14ac:dyDescent="0.45"/>
    <row r="7" spans="2:12" outlineLevel="1" x14ac:dyDescent="0.45">
      <c r="C7" s="47" t="s">
        <v>1</v>
      </c>
      <c r="D7" s="1" t="s">
        <v>61</v>
      </c>
      <c r="E7" s="1"/>
      <c r="F7" s="30"/>
    </row>
    <row r="8" spans="2:12" outlineLevel="1" x14ac:dyDescent="0.45">
      <c r="C8" s="47" t="s">
        <v>2</v>
      </c>
      <c r="D8" s="6" t="s">
        <v>62</v>
      </c>
    </row>
    <row r="9" spans="2:12" outlineLevel="1" x14ac:dyDescent="0.45">
      <c r="C9" s="47" t="s">
        <v>3</v>
      </c>
      <c r="D9" s="7">
        <v>45657</v>
      </c>
    </row>
    <row r="11" spans="2:12" x14ac:dyDescent="0.45">
      <c r="B11" s="8"/>
      <c r="C11" s="8"/>
      <c r="D11" s="8"/>
      <c r="E11" s="9" t="s">
        <v>99</v>
      </c>
      <c r="F11" s="9"/>
      <c r="G11" s="9"/>
      <c r="H11" s="10" t="s">
        <v>100</v>
      </c>
      <c r="I11" s="9"/>
      <c r="J11" s="9"/>
      <c r="K11" s="9"/>
      <c r="L11" s="9"/>
    </row>
    <row r="12" spans="2:12" x14ac:dyDescent="0.45">
      <c r="B12" s="8" t="s">
        <v>101</v>
      </c>
      <c r="C12" s="8"/>
      <c r="D12" s="11" t="s">
        <v>42</v>
      </c>
      <c r="E12" s="12">
        <f>EOMONTH(F12,-12)</f>
        <v>44926</v>
      </c>
      <c r="F12" s="12">
        <f>EOMONTH(G12,-12)</f>
        <v>45291</v>
      </c>
      <c r="G12" s="12">
        <f>Hist_Yr</f>
        <v>45657</v>
      </c>
      <c r="H12" s="13">
        <f>EOMONTH(G12,12)</f>
        <v>46022</v>
      </c>
      <c r="I12" s="12">
        <f>EOMONTH(H12,12)</f>
        <v>46387</v>
      </c>
      <c r="J12" s="12">
        <f>EOMONTH(I12,12)</f>
        <v>46752</v>
      </c>
      <c r="K12" s="12">
        <f>EOMONTH(J12,12)</f>
        <v>47118</v>
      </c>
      <c r="L12" s="12">
        <f>EOMONTH(K12,12)</f>
        <v>47483</v>
      </c>
    </row>
    <row r="13" spans="2:12" x14ac:dyDescent="0.45">
      <c r="B13" s="20" t="s">
        <v>98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2:12" outlineLevel="1" x14ac:dyDescent="0.45">
      <c r="B14" s="2"/>
      <c r="C14" s="46" t="s">
        <v>95</v>
      </c>
      <c r="D14" s="15" t="s">
        <v>53</v>
      </c>
      <c r="E14" s="40">
        <v>701.67700000000002</v>
      </c>
      <c r="F14" s="40">
        <v>769.24099999999999</v>
      </c>
      <c r="G14" s="40">
        <v>846.66300000000001</v>
      </c>
      <c r="H14" s="42">
        <f>H19*H21</f>
        <v>948.52865408571415</v>
      </c>
      <c r="I14" s="42">
        <f>I19*I21</f>
        <v>1059.7497891791998</v>
      </c>
      <c r="J14" s="42">
        <f>J19*J21</f>
        <v>1177.3080797462878</v>
      </c>
      <c r="K14" s="42">
        <f>K19*K21</f>
        <v>1306.9504753512911</v>
      </c>
      <c r="L14" s="42">
        <f>L19*L21</f>
        <v>1451.1998015551228</v>
      </c>
    </row>
    <row r="15" spans="2:12" outlineLevel="1" x14ac:dyDescent="0.45">
      <c r="B15" s="2"/>
      <c r="C15" s="44"/>
      <c r="D15" s="15"/>
      <c r="E15" s="49"/>
      <c r="F15" s="49"/>
      <c r="G15" s="49"/>
      <c r="H15" s="41"/>
      <c r="I15" s="41"/>
      <c r="J15" s="41"/>
      <c r="K15" s="41"/>
      <c r="L15" s="41"/>
    </row>
    <row r="16" spans="2:12" outlineLevel="1" x14ac:dyDescent="0.45">
      <c r="B16" s="2"/>
      <c r="C16" s="46" t="s">
        <v>96</v>
      </c>
      <c r="D16" s="15" t="s">
        <v>54</v>
      </c>
      <c r="E16" s="51">
        <f>E73/E14</f>
        <v>8.9942380896053304</v>
      </c>
      <c r="F16" s="51">
        <f>F73/F14</f>
        <v>9.2819116505750472</v>
      </c>
      <c r="G16" s="51">
        <f>G73/G14</f>
        <v>8.84969462466176</v>
      </c>
      <c r="H16" s="43">
        <v>8.8000000000000007</v>
      </c>
      <c r="I16" s="43">
        <v>8.9</v>
      </c>
      <c r="J16" s="43">
        <v>9</v>
      </c>
      <c r="K16" s="43">
        <v>9.0500000000000007</v>
      </c>
      <c r="L16" s="43">
        <v>9.1</v>
      </c>
    </row>
    <row r="17" spans="2:12" outlineLevel="1" x14ac:dyDescent="0.45">
      <c r="B17" s="2"/>
      <c r="C17" s="44" t="s">
        <v>57</v>
      </c>
      <c r="D17" s="15" t="s">
        <v>43</v>
      </c>
      <c r="E17" s="39">
        <v>-4.3162015469178083E-3</v>
      </c>
      <c r="F17" s="49">
        <f>F16/E16-1</f>
        <v>3.1984205677430433E-2</v>
      </c>
      <c r="G17" s="49">
        <f>G16/F16-1</f>
        <v>-4.6565518201900802E-2</v>
      </c>
      <c r="H17" s="49">
        <f t="shared" ref="H17:L17" si="0">H16/G16-1</f>
        <v>-5.6154055896203703E-3</v>
      </c>
      <c r="I17" s="49">
        <f t="shared" si="0"/>
        <v>1.1363636363636243E-2</v>
      </c>
      <c r="J17" s="49">
        <f t="shared" si="0"/>
        <v>1.1235955056179803E-2</v>
      </c>
      <c r="K17" s="49">
        <f t="shared" si="0"/>
        <v>5.5555555555555358E-3</v>
      </c>
      <c r="L17" s="49">
        <f t="shared" si="0"/>
        <v>5.5248618784529135E-3</v>
      </c>
    </row>
    <row r="18" spans="2:12" outlineLevel="1" x14ac:dyDescent="0.45">
      <c r="B18" s="2"/>
      <c r="C18" s="44"/>
      <c r="D18" s="15"/>
      <c r="E18" s="51"/>
      <c r="F18" s="49"/>
      <c r="G18" s="49"/>
      <c r="H18" s="41"/>
      <c r="I18" s="41"/>
      <c r="J18" s="41"/>
      <c r="K18" s="41"/>
      <c r="L18" s="41"/>
    </row>
    <row r="19" spans="2:12" outlineLevel="1" x14ac:dyDescent="0.45">
      <c r="B19" s="2"/>
      <c r="C19" s="46" t="s">
        <v>55</v>
      </c>
      <c r="D19" s="15" t="s">
        <v>43</v>
      </c>
      <c r="E19" s="39">
        <v>0.37</v>
      </c>
      <c r="F19" s="39">
        <v>0.36</v>
      </c>
      <c r="G19" s="39">
        <v>0.35</v>
      </c>
      <c r="H19" s="24">
        <v>0.34699999999999998</v>
      </c>
      <c r="I19" s="24">
        <v>0.34399999999999997</v>
      </c>
      <c r="J19" s="24">
        <v>0.34</v>
      </c>
      <c r="K19" s="24">
        <v>0.33700000000000002</v>
      </c>
      <c r="L19" s="24">
        <v>0.33500000000000002</v>
      </c>
    </row>
    <row r="20" spans="2:12" outlineLevel="1" x14ac:dyDescent="0.45">
      <c r="B20" s="2"/>
      <c r="C20" s="44"/>
      <c r="D20" s="15"/>
      <c r="E20" s="49"/>
      <c r="F20" s="49"/>
      <c r="G20" s="49"/>
      <c r="H20" s="41"/>
      <c r="I20" s="41"/>
      <c r="J20" s="41"/>
      <c r="K20" s="41"/>
      <c r="L20" s="41"/>
    </row>
    <row r="21" spans="2:12" outlineLevel="1" x14ac:dyDescent="0.45">
      <c r="B21" s="2"/>
      <c r="C21" s="46" t="s">
        <v>56</v>
      </c>
      <c r="D21" s="15" t="s">
        <v>53</v>
      </c>
      <c r="E21" s="42">
        <f>E14/E19</f>
        <v>1896.4243243243245</v>
      </c>
      <c r="F21" s="42">
        <f>F14/F19</f>
        <v>2136.7805555555556</v>
      </c>
      <c r="G21" s="42">
        <f>G14/G19</f>
        <v>2419.037142857143</v>
      </c>
      <c r="H21" s="42">
        <f>G21*(1+H22)</f>
        <v>2733.5119714285711</v>
      </c>
      <c r="I21" s="42">
        <f>H21*(1+I22)</f>
        <v>3080.6679917999995</v>
      </c>
      <c r="J21" s="42">
        <f>I21*(1+J22)</f>
        <v>3462.6708227831996</v>
      </c>
      <c r="K21" s="42">
        <f>J21*(1+K22)</f>
        <v>3878.191321517184</v>
      </c>
      <c r="L21" s="42">
        <f>K21*(1+L22)</f>
        <v>4331.9397061346945</v>
      </c>
    </row>
    <row r="22" spans="2:12" outlineLevel="1" x14ac:dyDescent="0.45">
      <c r="B22" s="2"/>
      <c r="C22" s="44" t="s">
        <v>57</v>
      </c>
      <c r="D22" s="15" t="s">
        <v>43</v>
      </c>
      <c r="E22" s="39">
        <v>0.124</v>
      </c>
      <c r="F22" s="49">
        <f>F21/E21-1</f>
        <v>0.12674179936859198</v>
      </c>
      <c r="G22" s="49">
        <f>G21/F21-1</f>
        <v>0.13209432600260707</v>
      </c>
      <c r="H22" s="24">
        <v>0.13</v>
      </c>
      <c r="I22" s="24">
        <v>0.127</v>
      </c>
      <c r="J22" s="24">
        <v>0.124</v>
      </c>
      <c r="K22" s="24">
        <v>0.12</v>
      </c>
      <c r="L22" s="24">
        <v>0.11700000000000001</v>
      </c>
    </row>
    <row r="23" spans="2:12" x14ac:dyDescent="0.45">
      <c r="B23" s="2"/>
      <c r="C23" s="44"/>
      <c r="D23" s="15"/>
      <c r="E23" s="49"/>
      <c r="F23" s="49"/>
      <c r="G23" s="49"/>
      <c r="H23" s="41"/>
      <c r="I23" s="41"/>
      <c r="J23" s="41"/>
      <c r="K23" s="41"/>
      <c r="L23" s="41"/>
    </row>
    <row r="24" spans="2:12" x14ac:dyDescent="0.45">
      <c r="B24" s="20" t="s">
        <v>102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outlineLevel="1" x14ac:dyDescent="0.45">
      <c r="C25" s="46" t="s">
        <v>103</v>
      </c>
      <c r="D25" s="15" t="s">
        <v>43</v>
      </c>
      <c r="E25" s="61">
        <f>-E76/E$73</f>
        <v>0.49698275247383561</v>
      </c>
      <c r="F25" s="61">
        <f t="shared" ref="F25:G25" si="1">-F76/F$73</f>
        <v>0.46860060893327155</v>
      </c>
      <c r="G25" s="61">
        <f t="shared" si="1"/>
        <v>0.45962428275274003</v>
      </c>
      <c r="H25" s="62">
        <v>0.45700000000000002</v>
      </c>
      <c r="I25" s="62">
        <v>0.45500000000000002</v>
      </c>
      <c r="J25" s="62">
        <v>0.45300000000000001</v>
      </c>
      <c r="K25" s="62">
        <v>0.45</v>
      </c>
      <c r="L25" s="62">
        <v>0.45</v>
      </c>
    </row>
    <row r="26" spans="2:12" outlineLevel="1" x14ac:dyDescent="0.45">
      <c r="C26" s="46" t="s">
        <v>104</v>
      </c>
      <c r="D26" s="15" t="s">
        <v>43</v>
      </c>
      <c r="E26" s="61">
        <f>-E81/E$73</f>
        <v>0.25191465762432558</v>
      </c>
      <c r="F26" s="61">
        <f t="shared" ref="F26:G26" si="2">-F81/F$73</f>
        <v>0.25782129395309011</v>
      </c>
      <c r="G26" s="61">
        <f t="shared" si="2"/>
        <v>0.28275274003034145</v>
      </c>
      <c r="H26" s="62">
        <v>0.28499999999999998</v>
      </c>
      <c r="I26" s="62">
        <v>0.28699999999999998</v>
      </c>
      <c r="J26" s="62">
        <v>0.28999999999999998</v>
      </c>
      <c r="K26" s="62">
        <v>0.29299999999999998</v>
      </c>
      <c r="L26" s="62">
        <v>0.29499999999999998</v>
      </c>
    </row>
    <row r="27" spans="2:12" outlineLevel="1" x14ac:dyDescent="0.45">
      <c r="B27" s="2"/>
      <c r="C27" s="44"/>
      <c r="D27" s="15"/>
      <c r="E27" s="49"/>
      <c r="F27" s="49"/>
      <c r="G27" s="49"/>
      <c r="H27" s="41"/>
      <c r="I27" s="41"/>
      <c r="J27" s="41"/>
      <c r="K27" s="41"/>
      <c r="L27" s="41"/>
    </row>
    <row r="28" spans="2:12" outlineLevel="1" x14ac:dyDescent="0.45">
      <c r="B28" s="2"/>
      <c r="C28" s="46" t="s">
        <v>108</v>
      </c>
      <c r="D28" s="15" t="s">
        <v>43</v>
      </c>
      <c r="E28" s="49"/>
      <c r="F28" s="61">
        <f>F86/AVERAGE(E97+E98+E106,F97+F98+F106)</f>
        <v>4.2899979193510088E-2</v>
      </c>
      <c r="G28" s="61">
        <f>G86/AVERAGE(F97+F98+F106,G97+G98+G106)</f>
        <v>4.7295927327134411E-2</v>
      </c>
      <c r="H28" s="62">
        <v>4.4999999999999998E-2</v>
      </c>
      <c r="I28" s="62">
        <v>0.04</v>
      </c>
      <c r="J28" s="62">
        <v>3.5000000000000003E-2</v>
      </c>
      <c r="K28" s="62">
        <v>0.03</v>
      </c>
      <c r="L28" s="62">
        <v>0.03</v>
      </c>
    </row>
    <row r="29" spans="2:12" outlineLevel="1" x14ac:dyDescent="0.45">
      <c r="B29" s="2"/>
      <c r="C29" s="47" t="s">
        <v>109</v>
      </c>
      <c r="D29" s="15" t="s">
        <v>43</v>
      </c>
      <c r="E29" s="49"/>
      <c r="F29" s="49"/>
      <c r="G29" s="61">
        <f>-G87/AVERAGE(F129,G129)</f>
        <v>0.29887496451314216</v>
      </c>
      <c r="H29" s="62">
        <v>0.1</v>
      </c>
      <c r="I29" s="62">
        <v>0.09</v>
      </c>
      <c r="J29" s="62">
        <v>0.08</v>
      </c>
      <c r="K29" s="62">
        <v>7.0000000000000007E-2</v>
      </c>
      <c r="L29" s="62">
        <v>7.0000000000000007E-2</v>
      </c>
    </row>
    <row r="30" spans="2:12" outlineLevel="1" x14ac:dyDescent="0.45">
      <c r="B30" s="2"/>
      <c r="C30" s="44"/>
      <c r="D30" s="15"/>
      <c r="E30" s="49"/>
      <c r="F30" s="49"/>
      <c r="G30" s="49"/>
      <c r="H30" s="41"/>
      <c r="I30" s="41"/>
      <c r="J30" s="41"/>
      <c r="K30" s="41"/>
      <c r="L30" s="41"/>
    </row>
    <row r="31" spans="2:12" outlineLevel="1" x14ac:dyDescent="0.45">
      <c r="B31" s="2"/>
      <c r="C31" s="47" t="s">
        <v>97</v>
      </c>
      <c r="D31" s="15" t="s">
        <v>43</v>
      </c>
      <c r="E31" s="61">
        <f>-E90/E89</f>
        <v>0.24195210577341464</v>
      </c>
      <c r="F31" s="61">
        <f t="shared" ref="F31:G31" si="3">-F90/F89</f>
        <v>0.21150924868689594</v>
      </c>
      <c r="G31" s="61">
        <f t="shared" si="3"/>
        <v>0.24148395177152868</v>
      </c>
      <c r="H31" s="63">
        <f>AVERAGE(E31:G31)</f>
        <v>0.23164843541061308</v>
      </c>
      <c r="I31" s="63">
        <f>H31</f>
        <v>0.23164843541061308</v>
      </c>
      <c r="J31" s="63">
        <f>I31</f>
        <v>0.23164843541061308</v>
      </c>
      <c r="K31" s="63">
        <f>J31</f>
        <v>0.23164843541061308</v>
      </c>
      <c r="L31" s="63">
        <f>K31</f>
        <v>0.23164843541061308</v>
      </c>
    </row>
    <row r="32" spans="2:12" x14ac:dyDescent="0.45">
      <c r="B32" s="2"/>
      <c r="C32" s="44"/>
      <c r="D32" s="15"/>
      <c r="E32" s="49"/>
      <c r="F32" s="49"/>
      <c r="G32" s="49"/>
      <c r="H32" s="41"/>
      <c r="I32" s="41"/>
      <c r="J32" s="41"/>
      <c r="K32" s="41"/>
      <c r="L32" s="41"/>
    </row>
    <row r="33" spans="2:12" x14ac:dyDescent="0.45">
      <c r="B33" s="20" t="s">
        <v>113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2:12" outlineLevel="1" x14ac:dyDescent="0.45">
      <c r="C34" s="47" t="s">
        <v>114</v>
      </c>
      <c r="D34" s="15" t="s">
        <v>43</v>
      </c>
      <c r="E34" s="61">
        <f>E99/E$73</f>
        <v>0.16101964015496628</v>
      </c>
      <c r="F34" s="61">
        <f>F99/F$73</f>
        <v>0.16722121639035817</v>
      </c>
      <c r="G34" s="61">
        <f>G99/G$73</f>
        <v>0.16304463445731043</v>
      </c>
      <c r="H34" s="60">
        <f>AVERAGE(E34:G34)</f>
        <v>0.16376183033421163</v>
      </c>
      <c r="I34" s="60">
        <f>H34</f>
        <v>0.16376183033421163</v>
      </c>
      <c r="J34" s="60">
        <f>I34</f>
        <v>0.16376183033421163</v>
      </c>
      <c r="K34" s="60">
        <f>J34</f>
        <v>0.16376183033421163</v>
      </c>
      <c r="L34" s="60">
        <f>K34</f>
        <v>0.16376183033421163</v>
      </c>
    </row>
    <row r="35" spans="2:12" outlineLevel="1" x14ac:dyDescent="0.45">
      <c r="C35" s="47" t="s">
        <v>115</v>
      </c>
      <c r="D35" s="15" t="s">
        <v>43</v>
      </c>
      <c r="E35" s="61">
        <f>-E100/E$76</f>
        <v>0.29830577752214821</v>
      </c>
      <c r="F35" s="61">
        <f t="shared" ref="F35:G35" si="4">-F100/F$76</f>
        <v>0.29033412128144331</v>
      </c>
      <c r="G35" s="61">
        <f t="shared" si="4"/>
        <v>0.21403692573764507</v>
      </c>
      <c r="H35" s="59">
        <v>0.21</v>
      </c>
      <c r="I35" s="59">
        <v>0.20699999999999999</v>
      </c>
      <c r="J35" s="59">
        <v>0.20399999999999999</v>
      </c>
      <c r="K35" s="59">
        <v>0.2</v>
      </c>
      <c r="L35" s="59">
        <v>0.2</v>
      </c>
    </row>
    <row r="36" spans="2:12" outlineLevel="1" x14ac:dyDescent="0.45">
      <c r="C36" s="47" t="s">
        <v>116</v>
      </c>
      <c r="D36" s="15" t="s">
        <v>43</v>
      </c>
      <c r="E36" s="49">
        <f>-E101/E$81</f>
        <v>6.9077759732703664E-2</v>
      </c>
      <c r="F36" s="49">
        <f t="shared" ref="F36:G36" si="5">-F101/F$81</f>
        <v>6.3120263399916665E-2</v>
      </c>
      <c r="G36" s="49">
        <f t="shared" si="5"/>
        <v>5.0629099436227218E-2</v>
      </c>
      <c r="H36" s="59">
        <v>4.8000000000000001E-2</v>
      </c>
      <c r="I36" s="59">
        <v>4.4999999999999998E-2</v>
      </c>
      <c r="J36" s="59">
        <v>4.2999999999999997E-2</v>
      </c>
      <c r="K36" s="59">
        <v>4.1000000000000002E-2</v>
      </c>
      <c r="L36" s="59">
        <v>0.04</v>
      </c>
    </row>
    <row r="37" spans="2:12" outlineLevel="1" x14ac:dyDescent="0.45">
      <c r="C37" s="46" t="s">
        <v>117</v>
      </c>
      <c r="D37" s="15" t="s">
        <v>43</v>
      </c>
      <c r="E37" s="49">
        <f>-E102/E$81</f>
        <v>2.1250485896118238E-2</v>
      </c>
      <c r="F37" s="49">
        <f t="shared" ref="F37:G37" si="6">-F102/F$81</f>
        <v>2.9416286271947052E-2</v>
      </c>
      <c r="G37" s="49">
        <f t="shared" si="6"/>
        <v>1.9919908769253425E-2</v>
      </c>
      <c r="H37" s="60">
        <f>AVERAGE(E37:G37)</f>
        <v>2.3528893645772903E-2</v>
      </c>
      <c r="I37" s="59">
        <f>H37</f>
        <v>2.3528893645772903E-2</v>
      </c>
      <c r="J37" s="59">
        <f>I37</f>
        <v>2.3528893645772903E-2</v>
      </c>
      <c r="K37" s="59">
        <f>J37</f>
        <v>2.3528893645772903E-2</v>
      </c>
      <c r="L37" s="59">
        <f>K37</f>
        <v>2.3528893645772903E-2</v>
      </c>
    </row>
    <row r="38" spans="2:12" outlineLevel="1" x14ac:dyDescent="0.45">
      <c r="B38" s="2"/>
      <c r="C38" s="44"/>
      <c r="D38" s="15"/>
      <c r="E38" s="49"/>
      <c r="F38" s="49"/>
      <c r="G38" s="49"/>
      <c r="H38" s="41"/>
      <c r="I38" s="41"/>
      <c r="J38" s="41"/>
      <c r="K38" s="41"/>
      <c r="L38" s="41"/>
    </row>
    <row r="39" spans="2:12" outlineLevel="1" x14ac:dyDescent="0.45">
      <c r="C39" s="46" t="s">
        <v>118</v>
      </c>
      <c r="D39" s="15" t="s">
        <v>43</v>
      </c>
      <c r="E39" s="61">
        <f>-E118/E$76</f>
        <v>0.14164431944952355</v>
      </c>
      <c r="F39" s="61">
        <f t="shared" ref="F39:G39" si="7">-F118/F$76</f>
        <v>0.16868176749443561</v>
      </c>
      <c r="G39" s="61">
        <f t="shared" si="7"/>
        <v>0.13553946172155368</v>
      </c>
      <c r="H39" s="60">
        <f>AVERAGE(E39:G39)</f>
        <v>0.14862184955517094</v>
      </c>
      <c r="I39" s="60">
        <f t="shared" ref="I39:L40" si="8">H39</f>
        <v>0.14862184955517094</v>
      </c>
      <c r="J39" s="60">
        <f t="shared" si="8"/>
        <v>0.14862184955517094</v>
      </c>
      <c r="K39" s="60">
        <f t="shared" si="8"/>
        <v>0.14862184955517094</v>
      </c>
      <c r="L39" s="60">
        <f t="shared" si="8"/>
        <v>0.14862184955517094</v>
      </c>
    </row>
    <row r="40" spans="2:12" outlineLevel="1" x14ac:dyDescent="0.45">
      <c r="C40" s="46" t="s">
        <v>119</v>
      </c>
      <c r="D40" s="15" t="s">
        <v>43</v>
      </c>
      <c r="E40" s="61">
        <f>-E119/E$81</f>
        <v>0.1088099098906435</v>
      </c>
      <c r="F40" s="61">
        <f t="shared" ref="F40:G40" si="9">-F119/F$81</f>
        <v>9.9947252656515925E-2</v>
      </c>
      <c r="G40" s="61">
        <f t="shared" si="9"/>
        <v>0.10420356237940059</v>
      </c>
      <c r="H40" s="60">
        <f>AVERAGE(E40:G40)</f>
        <v>0.10432024164218667</v>
      </c>
      <c r="I40" s="60">
        <f t="shared" si="8"/>
        <v>0.10432024164218667</v>
      </c>
      <c r="J40" s="60">
        <f t="shared" si="8"/>
        <v>0.10432024164218667</v>
      </c>
      <c r="K40" s="60">
        <f t="shared" si="8"/>
        <v>0.10432024164218667</v>
      </c>
      <c r="L40" s="60">
        <f t="shared" si="8"/>
        <v>0.10432024164218667</v>
      </c>
    </row>
    <row r="41" spans="2:12" outlineLevel="1" x14ac:dyDescent="0.45">
      <c r="C41" s="46" t="s">
        <v>120</v>
      </c>
      <c r="D41" s="15" t="s">
        <v>43</v>
      </c>
      <c r="E41" s="49">
        <f>-E120/E$81</f>
        <v>0.1607897871869351</v>
      </c>
      <c r="F41" s="49">
        <f t="shared" ref="F41:G41" si="10">-F120/F$81</f>
        <v>0.1461612047906104</v>
      </c>
      <c r="G41" s="49">
        <f t="shared" si="10"/>
        <v>0.12636317464872765</v>
      </c>
      <c r="H41" s="59">
        <v>0.125</v>
      </c>
      <c r="I41" s="59">
        <v>0.12</v>
      </c>
      <c r="J41" s="59">
        <v>0.115</v>
      </c>
      <c r="K41" s="59">
        <v>0.11</v>
      </c>
      <c r="L41" s="59">
        <v>0.105</v>
      </c>
    </row>
    <row r="42" spans="2:12" outlineLevel="1" x14ac:dyDescent="0.45">
      <c r="B42" s="2"/>
      <c r="C42" s="46"/>
      <c r="D42" s="15"/>
      <c r="E42" s="49"/>
      <c r="F42" s="49"/>
      <c r="G42" s="49"/>
      <c r="H42" s="41"/>
      <c r="I42" s="41"/>
      <c r="J42" s="41"/>
      <c r="K42" s="41"/>
      <c r="L42" s="41"/>
    </row>
    <row r="43" spans="2:12" outlineLevel="1" x14ac:dyDescent="0.45">
      <c r="C43" s="46" t="s">
        <v>121</v>
      </c>
      <c r="D43" s="15" t="s">
        <v>43</v>
      </c>
      <c r="E43" s="61">
        <f>E121/E$73</f>
        <v>6.8627249031460689E-3</v>
      </c>
      <c r="F43" s="61">
        <f>F121/F$73</f>
        <v>5.8702859246890808E-3</v>
      </c>
      <c r="G43" s="61">
        <f>G121/G$73</f>
        <v>6.1138101052636631E-3</v>
      </c>
      <c r="H43" s="60">
        <f>AVERAGE(E43:G43)</f>
        <v>6.282273644366271E-3</v>
      </c>
      <c r="I43" s="60">
        <f t="shared" ref="I43:L44" si="11">H43</f>
        <v>6.282273644366271E-3</v>
      </c>
      <c r="J43" s="60">
        <f t="shared" si="11"/>
        <v>6.282273644366271E-3</v>
      </c>
      <c r="K43" s="60">
        <f t="shared" si="11"/>
        <v>6.282273644366271E-3</v>
      </c>
      <c r="L43" s="60">
        <f t="shared" si="11"/>
        <v>6.282273644366271E-3</v>
      </c>
    </row>
    <row r="44" spans="2:12" outlineLevel="1" x14ac:dyDescent="0.45">
      <c r="C44" s="46" t="s">
        <v>122</v>
      </c>
      <c r="D44" s="15" t="s">
        <v>43</v>
      </c>
      <c r="E44" s="61">
        <f>-E122/E$81</f>
        <v>4.5578628370294978E-2</v>
      </c>
      <c r="F44" s="61">
        <f t="shared" ref="F44:G44" si="12">-F122/F$81</f>
        <v>4.7473695589702804E-2</v>
      </c>
      <c r="G44" s="61">
        <f t="shared" si="12"/>
        <v>4.3639525267820396E-2</v>
      </c>
      <c r="H44" s="60">
        <f>AVERAGE(E44:G44)</f>
        <v>4.5563949742606059E-2</v>
      </c>
      <c r="I44" s="60">
        <f t="shared" si="11"/>
        <v>4.5563949742606059E-2</v>
      </c>
      <c r="J44" s="60">
        <f t="shared" si="11"/>
        <v>4.5563949742606059E-2</v>
      </c>
      <c r="K44" s="60">
        <f t="shared" si="11"/>
        <v>4.5563949742606059E-2</v>
      </c>
      <c r="L44" s="60">
        <f t="shared" si="11"/>
        <v>4.5563949742606059E-2</v>
      </c>
    </row>
    <row r="45" spans="2:12" outlineLevel="1" x14ac:dyDescent="0.45">
      <c r="B45" s="2"/>
      <c r="C45" s="46"/>
      <c r="D45" s="15"/>
      <c r="E45" s="49"/>
      <c r="F45" s="49"/>
      <c r="G45" s="49"/>
      <c r="H45" s="41"/>
      <c r="I45" s="41"/>
      <c r="J45" s="41"/>
      <c r="K45" s="41"/>
      <c r="L45" s="41"/>
    </row>
    <row r="46" spans="2:12" outlineLevel="1" x14ac:dyDescent="0.45">
      <c r="C46" s="46" t="s">
        <v>123</v>
      </c>
      <c r="D46" s="15" t="s">
        <v>43</v>
      </c>
      <c r="E46" s="61">
        <f>-E123/E$90</f>
        <v>3.5013409055056004E-2</v>
      </c>
      <c r="F46" s="61">
        <f t="shared" ref="F46:G46" si="13">-F123/F$90</f>
        <v>3.4183325942755784E-2</v>
      </c>
      <c r="G46" s="61">
        <f t="shared" si="13"/>
        <v>8.3386933271719435E-3</v>
      </c>
      <c r="H46" s="60">
        <f>AVERAGE(E46:G46)</f>
        <v>2.5845142774994573E-2</v>
      </c>
      <c r="I46" s="60">
        <f>H46</f>
        <v>2.5845142774994573E-2</v>
      </c>
      <c r="J46" s="60">
        <f>I46</f>
        <v>2.5845142774994573E-2</v>
      </c>
      <c r="K46" s="60">
        <f>J46</f>
        <v>2.5845142774994573E-2</v>
      </c>
      <c r="L46" s="60">
        <f>K46</f>
        <v>2.5845142774994573E-2</v>
      </c>
    </row>
    <row r="47" spans="2:12" outlineLevel="1" x14ac:dyDescent="0.45">
      <c r="B47" s="2"/>
      <c r="C47" s="44"/>
      <c r="D47" s="15"/>
      <c r="E47" s="49"/>
      <c r="F47" s="49"/>
      <c r="G47" s="49"/>
      <c r="H47" s="41"/>
      <c r="I47" s="41"/>
      <c r="J47" s="41"/>
      <c r="K47" s="41"/>
      <c r="L47" s="41"/>
    </row>
    <row r="48" spans="2:12" outlineLevel="1" x14ac:dyDescent="0.45">
      <c r="C48" s="46" t="s">
        <v>124</v>
      </c>
      <c r="D48" s="15" t="s">
        <v>43</v>
      </c>
      <c r="E48" s="49">
        <f>E127/E$73</f>
        <v>3.5461610983909174E-2</v>
      </c>
      <c r="F48" s="49">
        <f>F127/F$73</f>
        <v>2.8606474457309475E-2</v>
      </c>
      <c r="G48" s="49">
        <f>G127/G$73</f>
        <v>2.3890958530486107E-2</v>
      </c>
      <c r="H48" s="59">
        <v>2.1999999999999999E-2</v>
      </c>
      <c r="I48" s="59">
        <v>0.02</v>
      </c>
      <c r="J48" s="59">
        <v>1.7999999999999999E-2</v>
      </c>
      <c r="K48" s="59">
        <v>1.6E-2</v>
      </c>
      <c r="L48" s="59">
        <v>1.4999999999999999E-2</v>
      </c>
    </row>
    <row r="49" spans="2:12" outlineLevel="1" x14ac:dyDescent="0.45">
      <c r="C49" s="46" t="s">
        <v>125</v>
      </c>
      <c r="D49" s="15" t="s">
        <v>43</v>
      </c>
      <c r="E49" s="49">
        <f>-E128/E$81</f>
        <v>2.6597544667848333E-2</v>
      </c>
      <c r="F49" s="49">
        <f t="shared" ref="F49:G49" si="14">-F128/F$81</f>
        <v>4.9888882913391677E-2</v>
      </c>
      <c r="G49" s="49">
        <f t="shared" si="14"/>
        <v>5.2342980028169762E-2</v>
      </c>
      <c r="H49" s="59">
        <v>5.3999999999999999E-2</v>
      </c>
      <c r="I49" s="59">
        <v>5.5E-2</v>
      </c>
      <c r="J49" s="59">
        <v>5.7000000000000002E-2</v>
      </c>
      <c r="K49" s="59">
        <v>5.8999999999999997E-2</v>
      </c>
      <c r="L49" s="59">
        <v>0.06</v>
      </c>
    </row>
    <row r="50" spans="2:12" x14ac:dyDescent="0.45">
      <c r="B50" s="2"/>
      <c r="C50" s="44"/>
      <c r="D50" s="15"/>
      <c r="E50" s="49"/>
      <c r="F50" s="49"/>
      <c r="G50" s="49"/>
      <c r="H50" s="41"/>
      <c r="I50" s="41"/>
      <c r="J50" s="41"/>
      <c r="K50" s="41"/>
      <c r="L50" s="41"/>
    </row>
    <row r="51" spans="2:12" x14ac:dyDescent="0.45">
      <c r="B51" s="20" t="s">
        <v>126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2:12" outlineLevel="1" x14ac:dyDescent="0.45">
      <c r="C52" s="46" t="s">
        <v>127</v>
      </c>
      <c r="D52" s="15" t="s">
        <v>43</v>
      </c>
      <c r="E52" s="61">
        <f>E145/E73</f>
        <v>9.703773540060686E-3</v>
      </c>
      <c r="F52" s="61">
        <f>F145/F73</f>
        <v>9.6495433420629908E-3</v>
      </c>
      <c r="G52" s="61">
        <f>G145/G73</f>
        <v>1.0734969154680904E-2</v>
      </c>
      <c r="H52" s="63">
        <f>AVERAGE(E52:G52)</f>
        <v>1.002942867893486E-2</v>
      </c>
      <c r="I52" s="63">
        <f t="shared" ref="I52:L53" si="15">H52</f>
        <v>1.002942867893486E-2</v>
      </c>
      <c r="J52" s="63">
        <f t="shared" si="15"/>
        <v>1.002942867893486E-2</v>
      </c>
      <c r="K52" s="63">
        <f t="shared" si="15"/>
        <v>1.002942867893486E-2</v>
      </c>
      <c r="L52" s="63">
        <f t="shared" si="15"/>
        <v>1.002942867893486E-2</v>
      </c>
    </row>
    <row r="53" spans="2:12" outlineLevel="1" x14ac:dyDescent="0.45">
      <c r="B53" s="2"/>
      <c r="C53" s="46" t="s">
        <v>134</v>
      </c>
      <c r="D53" s="15" t="s">
        <v>43</v>
      </c>
      <c r="E53" s="49">
        <f>E146/E73</f>
        <v>1.162564074123957E-3</v>
      </c>
      <c r="F53" s="49">
        <f t="shared" ref="F53:G53" si="16">F146/F73</f>
        <v>1.266521821276026E-3</v>
      </c>
      <c r="G53" s="49">
        <f t="shared" si="16"/>
        <v>1.8045542673551049E-3</v>
      </c>
      <c r="H53" s="63">
        <f>AVERAGE(E53:G53)</f>
        <v>1.4112133875850291E-3</v>
      </c>
      <c r="I53" s="63">
        <f t="shared" si="15"/>
        <v>1.4112133875850291E-3</v>
      </c>
      <c r="J53" s="63">
        <f t="shared" si="15"/>
        <v>1.4112133875850291E-3</v>
      </c>
      <c r="K53" s="63">
        <f t="shared" si="15"/>
        <v>1.4112133875850291E-3</v>
      </c>
      <c r="L53" s="63">
        <f t="shared" si="15"/>
        <v>1.4112133875850291E-3</v>
      </c>
    </row>
    <row r="54" spans="2:12" outlineLevel="1" x14ac:dyDescent="0.45">
      <c r="B54" s="2"/>
      <c r="C54" s="44"/>
      <c r="D54" s="15"/>
      <c r="E54" s="49"/>
      <c r="F54" s="49"/>
      <c r="G54" s="49"/>
      <c r="H54" s="65"/>
      <c r="I54" s="65"/>
      <c r="J54" s="65"/>
      <c r="K54" s="65"/>
      <c r="L54" s="65"/>
    </row>
    <row r="55" spans="2:12" outlineLevel="1" x14ac:dyDescent="0.45">
      <c r="C55" s="46" t="s">
        <v>128</v>
      </c>
      <c r="D55" s="15" t="s">
        <v>43</v>
      </c>
      <c r="E55" s="61">
        <f>E151/E73</f>
        <v>1.0158214560176198E-2</v>
      </c>
      <c r="F55" s="61">
        <f>F151/F73</f>
        <v>9.6408599015101754E-3</v>
      </c>
      <c r="G55" s="61">
        <f>G151/G73</f>
        <v>1.2143138082634732E-2</v>
      </c>
      <c r="H55" s="63">
        <f>AVERAGE(E55:G55)</f>
        <v>1.0647404181440369E-2</v>
      </c>
      <c r="I55" s="63">
        <f t="shared" ref="I55:L56" si="17">H55</f>
        <v>1.0647404181440369E-2</v>
      </c>
      <c r="J55" s="63">
        <f t="shared" si="17"/>
        <v>1.0647404181440369E-2</v>
      </c>
      <c r="K55" s="63">
        <f t="shared" si="17"/>
        <v>1.0647404181440369E-2</v>
      </c>
      <c r="L55" s="63">
        <f t="shared" si="17"/>
        <v>1.0647404181440369E-2</v>
      </c>
    </row>
    <row r="56" spans="2:12" outlineLevel="1" x14ac:dyDescent="0.45">
      <c r="C56" s="46" t="s">
        <v>129</v>
      </c>
      <c r="D56" s="15" t="s">
        <v>43</v>
      </c>
      <c r="E56" s="61">
        <f>-E152/E$90</f>
        <v>0.12668139033496348</v>
      </c>
      <c r="F56" s="61">
        <f t="shared" ref="F56:G56" si="18">-F152/F$90</f>
        <v>4.6629210914892541E-3</v>
      </c>
      <c r="G56" s="61">
        <f t="shared" si="18"/>
        <v>-2.4364554516861606E-2</v>
      </c>
      <c r="H56" s="63">
        <f>AVERAGE(E56:G56)</f>
        <v>3.5659918969863709E-2</v>
      </c>
      <c r="I56" s="63">
        <f t="shared" si="17"/>
        <v>3.5659918969863709E-2</v>
      </c>
      <c r="J56" s="63">
        <f t="shared" si="17"/>
        <v>3.5659918969863709E-2</v>
      </c>
      <c r="K56" s="63">
        <f t="shared" si="17"/>
        <v>3.5659918969863709E-2</v>
      </c>
      <c r="L56" s="63">
        <f t="shared" si="17"/>
        <v>3.5659918969863709E-2</v>
      </c>
    </row>
    <row r="57" spans="2:12" outlineLevel="1" x14ac:dyDescent="0.45">
      <c r="B57" s="2"/>
      <c r="C57" s="44"/>
      <c r="D57" s="15"/>
      <c r="E57" s="49"/>
      <c r="F57" s="49"/>
      <c r="G57" s="49"/>
      <c r="H57" s="41"/>
      <c r="I57" s="41"/>
      <c r="J57" s="41"/>
      <c r="K57" s="41"/>
      <c r="L57" s="41"/>
    </row>
    <row r="58" spans="2:12" outlineLevel="1" x14ac:dyDescent="0.45">
      <c r="C58" s="46" t="s">
        <v>132</v>
      </c>
      <c r="D58" s="15" t="s">
        <v>43</v>
      </c>
      <c r="E58" s="49">
        <f>-E172/E$73</f>
        <v>2.9904057169567663E-2</v>
      </c>
      <c r="F58" s="49">
        <f>-F172/F$73</f>
        <v>3.1012207656917822E-2</v>
      </c>
      <c r="G58" s="49">
        <f>-G172/G$73</f>
        <v>3.5244128658940312E-2</v>
      </c>
      <c r="H58" s="59">
        <v>3.5999999999999997E-2</v>
      </c>
      <c r="I58" s="59">
        <v>3.6999999999999998E-2</v>
      </c>
      <c r="J58" s="59">
        <v>3.7999999999999999E-2</v>
      </c>
      <c r="K58" s="59">
        <v>3.9E-2</v>
      </c>
      <c r="L58" s="59">
        <v>0.04</v>
      </c>
    </row>
    <row r="59" spans="2:12" outlineLevel="1" x14ac:dyDescent="0.45">
      <c r="C59" s="46" t="s">
        <v>133</v>
      </c>
      <c r="D59" s="15" t="s">
        <v>43</v>
      </c>
      <c r="E59" s="61">
        <f>-E174/E$73</f>
        <v>3.7120605921360152E-3</v>
      </c>
      <c r="F59" s="61">
        <f>-F174/F$73</f>
        <v>1.8621778321006347E-3</v>
      </c>
      <c r="G59" s="61">
        <f>-G174/G$73</f>
        <v>5.6534959518646727E-3</v>
      </c>
      <c r="H59" s="63">
        <f>AVERAGE(E59:G59)</f>
        <v>3.7425781253671076E-3</v>
      </c>
      <c r="I59" s="63">
        <f>H59</f>
        <v>3.7425781253671076E-3</v>
      </c>
      <c r="J59" s="63">
        <f>I59</f>
        <v>3.7425781253671076E-3</v>
      </c>
      <c r="K59" s="63">
        <f>J59</f>
        <v>3.7425781253671076E-3</v>
      </c>
      <c r="L59" s="63">
        <f>K59</f>
        <v>3.7425781253671076E-3</v>
      </c>
    </row>
    <row r="60" spans="2:12" outlineLevel="1" x14ac:dyDescent="0.45">
      <c r="B60" s="2"/>
      <c r="C60" s="44"/>
      <c r="D60" s="15"/>
      <c r="E60" s="49"/>
      <c r="F60" s="49"/>
      <c r="G60" s="49"/>
      <c r="H60" s="41"/>
      <c r="I60" s="41"/>
      <c r="J60" s="41"/>
      <c r="K60" s="41"/>
      <c r="L60" s="41"/>
    </row>
    <row r="61" spans="2:12" outlineLevel="1" x14ac:dyDescent="0.45">
      <c r="B61" s="2"/>
      <c r="C61" s="46" t="s">
        <v>83</v>
      </c>
      <c r="D61" s="15" t="s">
        <v>46</v>
      </c>
      <c r="E61" s="36">
        <f>E169</f>
        <v>-1847.067</v>
      </c>
      <c r="F61" s="36">
        <f t="shared" ref="F61:G61" si="19">F169</f>
        <v>-1620.7180000000001</v>
      </c>
      <c r="G61" s="36">
        <f t="shared" si="19"/>
        <v>-342.12099999999998</v>
      </c>
      <c r="H61" s="66">
        <v>-200</v>
      </c>
      <c r="I61" s="64">
        <f t="shared" ref="I61:L62" si="20">H61</f>
        <v>-200</v>
      </c>
      <c r="J61" s="64">
        <f t="shared" si="20"/>
        <v>-200</v>
      </c>
      <c r="K61" s="64">
        <f t="shared" si="20"/>
        <v>-200</v>
      </c>
      <c r="L61" s="64">
        <f t="shared" si="20"/>
        <v>-200</v>
      </c>
    </row>
    <row r="62" spans="2:12" outlineLevel="1" x14ac:dyDescent="0.45">
      <c r="B62" s="2"/>
      <c r="C62" s="46" t="s">
        <v>78</v>
      </c>
      <c r="D62" s="15" t="s">
        <v>46</v>
      </c>
      <c r="E62" s="36">
        <f>E175</f>
        <v>-26.343</v>
      </c>
      <c r="F62" s="36">
        <f t="shared" ref="F62:G62" si="21">F175</f>
        <v>-6.8250000000000002</v>
      </c>
      <c r="G62" s="36">
        <f t="shared" si="21"/>
        <v>1.635</v>
      </c>
      <c r="H62" s="66">
        <v>-25</v>
      </c>
      <c r="I62" s="64">
        <f t="shared" si="20"/>
        <v>-25</v>
      </c>
      <c r="J62" s="64">
        <f t="shared" si="20"/>
        <v>-25</v>
      </c>
      <c r="K62" s="64">
        <f t="shared" si="20"/>
        <v>-25</v>
      </c>
      <c r="L62" s="64">
        <f t="shared" si="20"/>
        <v>-25</v>
      </c>
    </row>
    <row r="63" spans="2:12" outlineLevel="1" x14ac:dyDescent="0.45">
      <c r="B63" s="2"/>
      <c r="C63" s="44"/>
      <c r="D63" s="15"/>
      <c r="E63" s="49"/>
      <c r="F63" s="49"/>
      <c r="G63" s="49"/>
      <c r="H63" s="41"/>
      <c r="I63" s="41"/>
      <c r="J63" s="41"/>
      <c r="K63" s="41"/>
      <c r="L63" s="41"/>
    </row>
    <row r="64" spans="2:12" outlineLevel="1" x14ac:dyDescent="0.45">
      <c r="B64" s="2"/>
      <c r="C64" s="46" t="s">
        <v>87</v>
      </c>
      <c r="D64" s="15" t="s">
        <v>46</v>
      </c>
      <c r="E64" s="36">
        <f>E181</f>
        <v>0</v>
      </c>
      <c r="F64" s="36">
        <f t="shared" ref="F64:G64" si="22">F181</f>
        <v>0</v>
      </c>
      <c r="G64" s="36">
        <f t="shared" si="22"/>
        <v>-375</v>
      </c>
      <c r="H64" s="66">
        <v>-100</v>
      </c>
      <c r="I64" s="66">
        <v>0</v>
      </c>
      <c r="J64" s="66">
        <v>0</v>
      </c>
      <c r="K64" s="66">
        <v>-100</v>
      </c>
      <c r="L64" s="66">
        <v>0</v>
      </c>
    </row>
    <row r="65" spans="2:15" outlineLevel="1" x14ac:dyDescent="0.45">
      <c r="B65" s="2"/>
      <c r="C65" s="46" t="s">
        <v>89</v>
      </c>
      <c r="D65" s="15" t="s">
        <v>46</v>
      </c>
      <c r="E65" s="36">
        <f t="shared" ref="E65:G65" si="23">E182</f>
        <v>0</v>
      </c>
      <c r="F65" s="36">
        <f t="shared" si="23"/>
        <v>0</v>
      </c>
      <c r="G65" s="36">
        <f t="shared" si="23"/>
        <v>-2.9039999999999999</v>
      </c>
      <c r="H65" s="66">
        <v>75</v>
      </c>
      <c r="I65" s="66">
        <v>100</v>
      </c>
      <c r="J65" s="66">
        <v>125</v>
      </c>
      <c r="K65" s="66">
        <v>150</v>
      </c>
      <c r="L65" s="66">
        <v>150</v>
      </c>
    </row>
    <row r="66" spans="2:15" outlineLevel="1" x14ac:dyDescent="0.45">
      <c r="B66" s="2"/>
      <c r="C66" s="46" t="s">
        <v>131</v>
      </c>
      <c r="D66" s="15" t="s">
        <v>46</v>
      </c>
      <c r="E66" s="36">
        <f t="shared" ref="E66:G66" si="24">E183</f>
        <v>64.015000000000001</v>
      </c>
      <c r="F66" s="36">
        <f t="shared" si="24"/>
        <v>130.267</v>
      </c>
      <c r="G66" s="36">
        <f t="shared" si="24"/>
        <v>78.972999999999999</v>
      </c>
      <c r="H66" s="66">
        <v>-1000</v>
      </c>
      <c r="I66" s="66">
        <v>-1250</v>
      </c>
      <c r="J66" s="66">
        <v>-1500</v>
      </c>
      <c r="K66" s="66">
        <v>-1750</v>
      </c>
      <c r="L66" s="66">
        <v>-2000</v>
      </c>
    </row>
    <row r="67" spans="2:15" outlineLevel="1" x14ac:dyDescent="0.45">
      <c r="B67" s="2"/>
      <c r="C67" s="44"/>
      <c r="D67" s="15"/>
      <c r="E67" s="49"/>
      <c r="F67" s="49"/>
      <c r="G67" s="49"/>
      <c r="H67" s="41"/>
      <c r="I67" s="41"/>
      <c r="J67" s="41"/>
      <c r="K67" s="41"/>
      <c r="L67" s="41"/>
    </row>
    <row r="68" spans="2:15" outlineLevel="1" x14ac:dyDescent="0.45">
      <c r="B68" s="2"/>
      <c r="C68" s="46" t="s">
        <v>135</v>
      </c>
      <c r="D68" s="15" t="s">
        <v>43</v>
      </c>
      <c r="E68" s="61">
        <f>E187/E73</f>
        <v>-6.1344784148438056E-3</v>
      </c>
      <c r="F68" s="61">
        <f t="shared" ref="F68:G68" si="25">F187/F73</f>
        <v>1.2289869492090157E-3</v>
      </c>
      <c r="G68" s="61">
        <f t="shared" si="25"/>
        <v>-1.302853213704149E-2</v>
      </c>
      <c r="H68" s="63">
        <f>AVERAGE(E68:G68)</f>
        <v>-5.9780078675587605E-3</v>
      </c>
      <c r="I68" s="63">
        <f>H68</f>
        <v>-5.9780078675587605E-3</v>
      </c>
      <c r="J68" s="63">
        <f t="shared" ref="J68:L68" si="26">I68</f>
        <v>-5.9780078675587605E-3</v>
      </c>
      <c r="K68" s="63">
        <f t="shared" si="26"/>
        <v>-5.9780078675587605E-3</v>
      </c>
      <c r="L68" s="63">
        <f t="shared" si="26"/>
        <v>-5.9780078675587605E-3</v>
      </c>
    </row>
    <row r="69" spans="2:15" x14ac:dyDescent="0.45">
      <c r="B69" s="2"/>
      <c r="C69" s="44"/>
      <c r="D69" s="15"/>
      <c r="E69" s="49"/>
      <c r="F69" s="49"/>
      <c r="G69" s="49"/>
      <c r="H69" s="41"/>
      <c r="I69" s="41"/>
      <c r="J69" s="41"/>
      <c r="K69" s="41"/>
      <c r="L69" s="41"/>
    </row>
    <row r="70" spans="2:15" x14ac:dyDescent="0.45">
      <c r="B70" s="8"/>
      <c r="C70" s="8"/>
      <c r="D70" s="8"/>
      <c r="E70" s="9" t="str">
        <f>$E$11</f>
        <v>Historical:</v>
      </c>
      <c r="F70" s="9"/>
      <c r="G70" s="9"/>
      <c r="H70" s="10" t="str">
        <f>$H$11</f>
        <v>Projected:</v>
      </c>
      <c r="I70" s="9"/>
      <c r="J70" s="9"/>
      <c r="K70" s="9"/>
      <c r="L70" s="9"/>
    </row>
    <row r="71" spans="2:15" x14ac:dyDescent="0.45">
      <c r="B71" s="25" t="s">
        <v>5</v>
      </c>
      <c r="C71" s="25"/>
      <c r="D71" s="26" t="str">
        <f>$D$12</f>
        <v>Units:</v>
      </c>
      <c r="E71" s="27">
        <f>$E$12</f>
        <v>44926</v>
      </c>
      <c r="F71" s="27">
        <f>$F$12</f>
        <v>45291</v>
      </c>
      <c r="G71" s="27">
        <f>$G$12</f>
        <v>45657</v>
      </c>
      <c r="H71" s="28">
        <f>$H$12</f>
        <v>46022</v>
      </c>
      <c r="I71" s="27">
        <f>$I$12</f>
        <v>46387</v>
      </c>
      <c r="J71" s="27">
        <f>$J$12</f>
        <v>46752</v>
      </c>
      <c r="K71" s="27">
        <f>$K$12</f>
        <v>47118</v>
      </c>
      <c r="L71" s="27">
        <f>$L$12</f>
        <v>47483</v>
      </c>
    </row>
    <row r="72" spans="2:15" outlineLevel="1" x14ac:dyDescent="0.45">
      <c r="C72" s="2"/>
      <c r="D72" s="15"/>
    </row>
    <row r="73" spans="2:15" outlineLevel="1" x14ac:dyDescent="0.45">
      <c r="C73" s="2" t="s">
        <v>19</v>
      </c>
      <c r="D73" s="15" t="s">
        <v>46</v>
      </c>
      <c r="E73" s="58">
        <v>6311.05</v>
      </c>
      <c r="F73" s="58">
        <v>7140.027</v>
      </c>
      <c r="G73" s="58">
        <v>7492.7089999999998</v>
      </c>
      <c r="H73" s="35">
        <f>H14*H16</f>
        <v>8347.0521559542849</v>
      </c>
      <c r="I73" s="35">
        <f>I14*I16</f>
        <v>9431.7731236948784</v>
      </c>
      <c r="J73" s="35">
        <f>J14*J16</f>
        <v>10595.772717716591</v>
      </c>
      <c r="K73" s="35">
        <f>K14*K16</f>
        <v>11827.901801929185</v>
      </c>
      <c r="L73" s="35">
        <f>L14*L16</f>
        <v>13205.918194151616</v>
      </c>
    </row>
    <row r="74" spans="2:15" ht="14.5" customHeight="1" outlineLevel="1" x14ac:dyDescent="0.45">
      <c r="C74" s="16" t="s">
        <v>18</v>
      </c>
      <c r="D74" s="15" t="s">
        <v>43</v>
      </c>
      <c r="E74" s="50">
        <v>0.13889089399790677</v>
      </c>
      <c r="F74" s="32">
        <f t="shared" ref="F74:L74" si="27">F73/E73-1</f>
        <v>0.13135326134319958</v>
      </c>
      <c r="G74" s="32">
        <f t="shared" si="27"/>
        <v>4.9395051307228988E-2</v>
      </c>
      <c r="H74" s="32">
        <f t="shared" si="27"/>
        <v>0.1140232666121539</v>
      </c>
      <c r="I74" s="32">
        <f t="shared" si="27"/>
        <v>0.12995258056064962</v>
      </c>
      <c r="J74" s="32">
        <f t="shared" si="27"/>
        <v>0.12341259472171417</v>
      </c>
      <c r="K74" s="32">
        <f t="shared" si="27"/>
        <v>0.11628496732026172</v>
      </c>
      <c r="L74" s="32">
        <f t="shared" si="27"/>
        <v>0.11650556584750049</v>
      </c>
    </row>
    <row r="75" spans="2:15" outlineLevel="1" x14ac:dyDescent="0.45">
      <c r="O75" s="52"/>
    </row>
    <row r="76" spans="2:15" outlineLevel="1" x14ac:dyDescent="0.45">
      <c r="C76" s="44" t="s">
        <v>105</v>
      </c>
      <c r="D76" s="15" t="s">
        <v>46</v>
      </c>
      <c r="E76" s="17">
        <v>-3136.4830000000002</v>
      </c>
      <c r="F76" s="17">
        <v>-3345.8209999999999</v>
      </c>
      <c r="G76" s="17">
        <v>-3443.8310000000001</v>
      </c>
      <c r="H76" s="53">
        <f>-H25*H73</f>
        <v>-3814.6028352711082</v>
      </c>
      <c r="I76" s="53">
        <f>-I25*I73</f>
        <v>-4291.4567712811695</v>
      </c>
      <c r="J76" s="53">
        <f>-J25*J73</f>
        <v>-4799.8850411256153</v>
      </c>
      <c r="K76" s="53">
        <f>-K25*K73</f>
        <v>-5322.5558108681334</v>
      </c>
      <c r="L76" s="53">
        <f>-L25*L73</f>
        <v>-5942.6631873682272</v>
      </c>
    </row>
    <row r="77" spans="2:15" outlineLevel="1" x14ac:dyDescent="0.45">
      <c r="E77" s="17"/>
      <c r="F77" s="17"/>
      <c r="G77" s="17"/>
      <c r="H77" s="53"/>
      <c r="I77" s="53"/>
      <c r="J77" s="53"/>
      <c r="K77" s="53"/>
      <c r="L77" s="53"/>
    </row>
    <row r="78" spans="2:15" outlineLevel="1" x14ac:dyDescent="0.45">
      <c r="C78" s="18" t="s">
        <v>6</v>
      </c>
      <c r="D78" s="15" t="s">
        <v>46</v>
      </c>
      <c r="E78" s="31">
        <f>E73+E76</f>
        <v>3174.567</v>
      </c>
      <c r="F78" s="31">
        <f t="shared" ref="F78:L78" si="28">F73+F76</f>
        <v>3794.2060000000001</v>
      </c>
      <c r="G78" s="31">
        <f t="shared" si="28"/>
        <v>4048.8779999999997</v>
      </c>
      <c r="H78" s="31">
        <f t="shared" si="28"/>
        <v>4532.4493206831767</v>
      </c>
      <c r="I78" s="31">
        <f t="shared" si="28"/>
        <v>5140.316352413709</v>
      </c>
      <c r="J78" s="31">
        <f t="shared" si="28"/>
        <v>5795.8876765909754</v>
      </c>
      <c r="K78" s="31">
        <f t="shared" si="28"/>
        <v>6505.3459910610518</v>
      </c>
      <c r="L78" s="31">
        <f t="shared" si="28"/>
        <v>7263.255006783389</v>
      </c>
    </row>
    <row r="79" spans="2:15" outlineLevel="1" x14ac:dyDescent="0.45">
      <c r="C79" s="16" t="s">
        <v>107</v>
      </c>
      <c r="D79" s="15" t="s">
        <v>43</v>
      </c>
      <c r="E79" s="32">
        <f>E78/E$73</f>
        <v>0.50301724752616439</v>
      </c>
      <c r="F79" s="32">
        <f t="shared" ref="F79:L79" si="29">F78/F$73</f>
        <v>0.53139939106672851</v>
      </c>
      <c r="G79" s="32">
        <f t="shared" si="29"/>
        <v>0.54037571724725997</v>
      </c>
      <c r="H79" s="32">
        <f t="shared" si="29"/>
        <v>0.54300000000000004</v>
      </c>
      <c r="I79" s="32">
        <f t="shared" si="29"/>
        <v>0.54500000000000004</v>
      </c>
      <c r="J79" s="32">
        <f t="shared" si="29"/>
        <v>0.54700000000000004</v>
      </c>
      <c r="K79" s="32">
        <f t="shared" si="29"/>
        <v>0.55000000000000004</v>
      </c>
      <c r="L79" s="32">
        <f t="shared" si="29"/>
        <v>0.55000000000000004</v>
      </c>
    </row>
    <row r="80" spans="2:15" outlineLevel="1" x14ac:dyDescent="0.45">
      <c r="C80" s="16"/>
      <c r="E80" s="55"/>
      <c r="F80" s="55"/>
      <c r="G80" s="55"/>
      <c r="H80" s="53"/>
      <c r="I80" s="53"/>
      <c r="J80" s="53"/>
      <c r="K80" s="53"/>
      <c r="L80" s="53"/>
    </row>
    <row r="81" spans="2:12" outlineLevel="1" x14ac:dyDescent="0.45">
      <c r="C81" s="44" t="s">
        <v>106</v>
      </c>
      <c r="D81" s="15" t="s">
        <v>46</v>
      </c>
      <c r="E81" s="17">
        <v>-1589.846</v>
      </c>
      <c r="F81" s="17">
        <v>-1840.8510000000001</v>
      </c>
      <c r="G81" s="17">
        <v>-2118.5839999999998</v>
      </c>
      <c r="H81" s="53">
        <f>-H26*H73</f>
        <v>-2378.9098644469709</v>
      </c>
      <c r="I81" s="53">
        <f>-I26*I73</f>
        <v>-2706.9188865004298</v>
      </c>
      <c r="J81" s="53">
        <f>-J26*J73</f>
        <v>-3072.7740881378113</v>
      </c>
      <c r="K81" s="53">
        <f>-K26*K73</f>
        <v>-3465.5752279652511</v>
      </c>
      <c r="L81" s="53">
        <f>-L26*L73</f>
        <v>-3895.7458672747266</v>
      </c>
    </row>
    <row r="82" spans="2:12" outlineLevel="1" x14ac:dyDescent="0.45">
      <c r="C82" s="45"/>
      <c r="E82" s="17"/>
      <c r="F82" s="17"/>
      <c r="G82" s="17"/>
      <c r="H82" s="17"/>
      <c r="I82" s="17"/>
      <c r="J82" s="17"/>
      <c r="K82" s="17"/>
      <c r="L82" s="17"/>
    </row>
    <row r="83" spans="2:12" outlineLevel="1" x14ac:dyDescent="0.45">
      <c r="C83" s="18" t="s">
        <v>20</v>
      </c>
      <c r="D83" s="15" t="s">
        <v>46</v>
      </c>
      <c r="E83" s="31">
        <f>E78+E81</f>
        <v>1584.721</v>
      </c>
      <c r="F83" s="31">
        <f t="shared" ref="F83:L83" si="30">F78+F81</f>
        <v>1953.355</v>
      </c>
      <c r="G83" s="31">
        <f t="shared" si="30"/>
        <v>1930.2939999999999</v>
      </c>
      <c r="H83" s="31">
        <f t="shared" si="30"/>
        <v>2153.5394562362058</v>
      </c>
      <c r="I83" s="31">
        <f t="shared" si="30"/>
        <v>2433.3974659132791</v>
      </c>
      <c r="J83" s="31">
        <f t="shared" si="30"/>
        <v>2723.1135884531641</v>
      </c>
      <c r="K83" s="31">
        <f t="shared" si="30"/>
        <v>3039.7707630958007</v>
      </c>
      <c r="L83" s="31">
        <f t="shared" si="30"/>
        <v>3367.5091395086624</v>
      </c>
    </row>
    <row r="84" spans="2:12" outlineLevel="1" x14ac:dyDescent="0.45">
      <c r="C84" s="16" t="s">
        <v>21</v>
      </c>
      <c r="D84" s="15" t="s">
        <v>43</v>
      </c>
      <c r="E84" s="32">
        <f t="shared" ref="E84:L84" si="31">E83/E73</f>
        <v>0.25110258990183881</v>
      </c>
      <c r="F84" s="32">
        <f t="shared" si="31"/>
        <v>0.27357809711363834</v>
      </c>
      <c r="G84" s="32">
        <f t="shared" si="31"/>
        <v>0.25762297721691846</v>
      </c>
      <c r="H84" s="32">
        <f t="shared" si="31"/>
        <v>0.25800000000000001</v>
      </c>
      <c r="I84" s="32">
        <f t="shared" si="31"/>
        <v>0.25800000000000006</v>
      </c>
      <c r="J84" s="32">
        <f t="shared" si="31"/>
        <v>0.25700000000000001</v>
      </c>
      <c r="K84" s="32">
        <f t="shared" si="31"/>
        <v>0.25700000000000001</v>
      </c>
      <c r="L84" s="32">
        <f t="shared" si="31"/>
        <v>0.255</v>
      </c>
    </row>
    <row r="85" spans="2:12" outlineLevel="1" x14ac:dyDescent="0.45">
      <c r="E85" s="53"/>
      <c r="F85" s="53"/>
      <c r="G85" s="53"/>
      <c r="H85" s="53"/>
      <c r="I85" s="53"/>
      <c r="J85" s="53"/>
      <c r="K85" s="53"/>
      <c r="L85" s="53"/>
    </row>
    <row r="86" spans="2:12" outlineLevel="1" x14ac:dyDescent="0.45">
      <c r="C86" s="44" t="s">
        <v>110</v>
      </c>
      <c r="D86" s="15" t="s">
        <v>46</v>
      </c>
      <c r="E86" s="17">
        <v>0</v>
      </c>
      <c r="F86" s="17">
        <v>130</v>
      </c>
      <c r="G86" s="17">
        <v>115</v>
      </c>
      <c r="H86" s="53">
        <f>H28*(G97+G98+G106)</f>
        <v>68.997915000000006</v>
      </c>
      <c r="I86" s="53">
        <f>I28*(H97+H98+H106)</f>
        <v>78.565969271048431</v>
      </c>
      <c r="J86" s="53">
        <f>J28*(I97+I98+I106)</f>
        <v>83.642861547217052</v>
      </c>
      <c r="K86" s="53">
        <f>K28*(J97+J98+J106)</f>
        <v>83.308158465058781</v>
      </c>
      <c r="L86" s="53">
        <f>L28*(K97+K98+K106)</f>
        <v>91.291239646484655</v>
      </c>
    </row>
    <row r="87" spans="2:12" outlineLevel="1" x14ac:dyDescent="0.45">
      <c r="C87" s="44" t="s">
        <v>111</v>
      </c>
      <c r="D87" s="15" t="s">
        <v>46</v>
      </c>
      <c r="E87" s="17">
        <v>-12.757</v>
      </c>
      <c r="F87" s="17">
        <v>-14.915899979193426</v>
      </c>
      <c r="G87" s="17">
        <v>-55.882295927327014</v>
      </c>
      <c r="H87" s="53">
        <f>-H29*G129</f>
        <v>-37.395100000000006</v>
      </c>
      <c r="I87" s="53">
        <f>-I29*H129</f>
        <v>-24.65559</v>
      </c>
      <c r="J87" s="53">
        <f>-J29*I129</f>
        <v>-21.916080000000001</v>
      </c>
      <c r="K87" s="53">
        <f>-K29*J129</f>
        <v>-19.176570000000002</v>
      </c>
      <c r="L87" s="53">
        <f>-L29*K129</f>
        <v>-12.176570000000003</v>
      </c>
    </row>
    <row r="88" spans="2:12" outlineLevel="1" x14ac:dyDescent="0.45">
      <c r="E88" s="54"/>
      <c r="F88" s="53"/>
      <c r="G88" s="53"/>
      <c r="H88" s="53"/>
      <c r="I88" s="53"/>
      <c r="J88" s="53"/>
      <c r="K88" s="53"/>
      <c r="L88" s="53"/>
    </row>
    <row r="89" spans="2:12" outlineLevel="1" x14ac:dyDescent="0.45">
      <c r="C89" s="18" t="s">
        <v>22</v>
      </c>
      <c r="D89" s="15" t="s">
        <v>46</v>
      </c>
      <c r="E89" s="31">
        <f t="shared" ref="E89:L89" si="32">E83+SUM(E86:E87)</f>
        <v>1571.9639999999999</v>
      </c>
      <c r="F89" s="31">
        <f t="shared" si="32"/>
        <v>2068.4391000208066</v>
      </c>
      <c r="G89" s="31">
        <f t="shared" si="32"/>
        <v>1989.4117040726728</v>
      </c>
      <c r="H89" s="31">
        <f t="shared" si="32"/>
        <v>2185.1422712362059</v>
      </c>
      <c r="I89" s="31">
        <f t="shared" si="32"/>
        <v>2487.3078451843276</v>
      </c>
      <c r="J89" s="31">
        <f t="shared" si="32"/>
        <v>2784.840370000381</v>
      </c>
      <c r="K89" s="31">
        <f t="shared" si="32"/>
        <v>3103.9023515608596</v>
      </c>
      <c r="L89" s="31">
        <f t="shared" si="32"/>
        <v>3446.6238091551472</v>
      </c>
    </row>
    <row r="90" spans="2:12" outlineLevel="1" x14ac:dyDescent="0.45">
      <c r="C90" s="44" t="s">
        <v>112</v>
      </c>
      <c r="D90" s="15" t="s">
        <v>46</v>
      </c>
      <c r="E90" s="17">
        <v>-380.34</v>
      </c>
      <c r="F90" s="17">
        <v>-437.49400000000003</v>
      </c>
      <c r="G90" s="17">
        <v>-480.411</v>
      </c>
      <c r="H90" s="53">
        <f>-H31*H89</f>
        <v>-506.18478828146061</v>
      </c>
      <c r="I90" s="53">
        <f>-I31*I89</f>
        <v>-576.18097072149294</v>
      </c>
      <c r="J90" s="53">
        <f>-J31*J89</f>
        <v>-645.10391457890114</v>
      </c>
      <c r="K90" s="53">
        <f>-K31*K89</f>
        <v>-719.01412340639581</v>
      </c>
      <c r="L90" s="53">
        <f>-L31*L89</f>
        <v>-798.40501283975732</v>
      </c>
    </row>
    <row r="91" spans="2:12" outlineLevel="1" x14ac:dyDescent="0.45">
      <c r="C91" s="22" t="s">
        <v>7</v>
      </c>
      <c r="D91" s="37" t="s">
        <v>46</v>
      </c>
      <c r="E91" s="34">
        <f>SUM(E89:E90)</f>
        <v>1191.624</v>
      </c>
      <c r="F91" s="34">
        <f t="shared" ref="F91:L91" si="33">SUM(F89:F90)</f>
        <v>1630.9451000208064</v>
      </c>
      <c r="G91" s="34">
        <f t="shared" si="33"/>
        <v>1509.0007040726728</v>
      </c>
      <c r="H91" s="34">
        <f t="shared" si="33"/>
        <v>1678.9574829547453</v>
      </c>
      <c r="I91" s="34">
        <f t="shared" si="33"/>
        <v>1911.1268744628346</v>
      </c>
      <c r="J91" s="34">
        <f t="shared" si="33"/>
        <v>2139.7364554214801</v>
      </c>
      <c r="K91" s="34">
        <f t="shared" si="33"/>
        <v>2384.8882281544638</v>
      </c>
      <c r="L91" s="34">
        <f t="shared" si="33"/>
        <v>2648.2187963153901</v>
      </c>
    </row>
    <row r="93" spans="2:12" x14ac:dyDescent="0.45">
      <c r="B93" s="8"/>
      <c r="C93" s="8"/>
      <c r="D93" s="8"/>
      <c r="E93" s="9" t="str">
        <f>$E$11</f>
        <v>Historical:</v>
      </c>
      <c r="F93" s="9"/>
      <c r="G93" s="9"/>
      <c r="H93" s="10" t="str">
        <f>$H$11</f>
        <v>Projected:</v>
      </c>
      <c r="I93" s="9"/>
      <c r="J93" s="9"/>
      <c r="K93" s="9"/>
      <c r="L93" s="9"/>
    </row>
    <row r="94" spans="2:12" x14ac:dyDescent="0.45">
      <c r="B94" s="25" t="s">
        <v>8</v>
      </c>
      <c r="C94" s="25"/>
      <c r="D94" s="26" t="str">
        <f>$D$12</f>
        <v>Units:</v>
      </c>
      <c r="E94" s="27">
        <f>$E$12</f>
        <v>44926</v>
      </c>
      <c r="F94" s="27">
        <f>$F$12</f>
        <v>45291</v>
      </c>
      <c r="G94" s="27">
        <f>$G$12</f>
        <v>45657</v>
      </c>
      <c r="H94" s="28">
        <f>$H$12</f>
        <v>46022</v>
      </c>
      <c r="I94" s="27">
        <f>$I$12</f>
        <v>46387</v>
      </c>
      <c r="J94" s="27">
        <f>$J$12</f>
        <v>46752</v>
      </c>
      <c r="K94" s="27">
        <f>$K$12</f>
        <v>47118</v>
      </c>
      <c r="L94" s="27">
        <f>$L$12</f>
        <v>47483</v>
      </c>
    </row>
    <row r="95" spans="2:12" x14ac:dyDescent="0.45">
      <c r="B95" s="20" t="s">
        <v>23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2:12" outlineLevel="1" x14ac:dyDescent="0.45">
      <c r="C96" s="2" t="s">
        <v>24</v>
      </c>
    </row>
    <row r="97" spans="3:15" outlineLevel="1" x14ac:dyDescent="0.45">
      <c r="C97" s="69" t="s">
        <v>9</v>
      </c>
      <c r="D97" s="70" t="s">
        <v>46</v>
      </c>
      <c r="E97" s="73">
        <v>1307.1410000000001</v>
      </c>
      <c r="F97" s="73">
        <v>2297.6750000000002</v>
      </c>
      <c r="G97" s="73">
        <v>1533.287</v>
      </c>
      <c r="H97" s="74">
        <f>H191</f>
        <v>1764.1492317762106</v>
      </c>
      <c r="I97" s="74">
        <f>I191</f>
        <v>1989.7960442062015</v>
      </c>
      <c r="J97" s="74">
        <f>J191</f>
        <v>2176.9386155019597</v>
      </c>
      <c r="K97" s="74">
        <f>K191</f>
        <v>2243.0413215494887</v>
      </c>
      <c r="L97" s="74">
        <f>L191</f>
        <v>2339.5718923110876</v>
      </c>
      <c r="O97" s="56"/>
    </row>
    <row r="98" spans="3:15" outlineLevel="1" x14ac:dyDescent="0.45">
      <c r="C98" s="69" t="s">
        <v>58</v>
      </c>
      <c r="D98" s="70" t="s">
        <v>46</v>
      </c>
      <c r="E98" s="71">
        <v>1362.3140000000001</v>
      </c>
      <c r="F98" s="71">
        <v>955.60500000000002</v>
      </c>
      <c r="G98" s="71">
        <v>0</v>
      </c>
      <c r="H98" s="72">
        <f>G98-H168-H169</f>
        <v>200</v>
      </c>
      <c r="I98" s="72">
        <f>H98-I168-I169</f>
        <v>400</v>
      </c>
      <c r="J98" s="72">
        <f>I98-J168-J169</f>
        <v>600</v>
      </c>
      <c r="K98" s="72">
        <f>J98-K168-K169</f>
        <v>800</v>
      </c>
      <c r="L98" s="72">
        <f>K98-L168-L169</f>
        <v>1000</v>
      </c>
    </row>
    <row r="99" spans="3:15" outlineLevel="1" x14ac:dyDescent="0.45">
      <c r="C99" s="69" t="s">
        <v>45</v>
      </c>
      <c r="D99" s="70" t="s">
        <v>46</v>
      </c>
      <c r="E99" s="71">
        <v>1016.203</v>
      </c>
      <c r="F99" s="71">
        <v>1193.9639999999999</v>
      </c>
      <c r="G99" s="71">
        <v>1221.646</v>
      </c>
      <c r="H99" s="72">
        <f>H34*H$73</f>
        <v>1366.928538954201</v>
      </c>
      <c r="I99" s="72">
        <f>I34*I$73</f>
        <v>1544.5644300332979</v>
      </c>
      <c r="J99" s="72">
        <f>J34*J$73</f>
        <v>1735.1831340585727</v>
      </c>
      <c r="K99" s="72">
        <f>K34*K$73</f>
        <v>1936.9588480972432</v>
      </c>
      <c r="L99" s="72">
        <f>L34*L$73</f>
        <v>2162.6253347181355</v>
      </c>
    </row>
    <row r="100" spans="3:15" outlineLevel="1" x14ac:dyDescent="0.45">
      <c r="C100" s="69" t="s">
        <v>10</v>
      </c>
      <c r="D100" s="70" t="s">
        <v>46</v>
      </c>
      <c r="E100" s="71">
        <v>935.63099999999997</v>
      </c>
      <c r="F100" s="71">
        <v>971.40599999999995</v>
      </c>
      <c r="G100" s="71">
        <v>737.10699999999997</v>
      </c>
      <c r="H100" s="72">
        <f>-H35*H$76</f>
        <v>801.06659540693272</v>
      </c>
      <c r="I100" s="72">
        <f>-I35*I$76</f>
        <v>888.33155165520202</v>
      </c>
      <c r="J100" s="72">
        <f>-J35*J$76</f>
        <v>979.17654838962551</v>
      </c>
      <c r="K100" s="72">
        <f>-K35*K$76</f>
        <v>1064.5111621736266</v>
      </c>
      <c r="L100" s="72">
        <f>-L35*L$76</f>
        <v>1188.5326374736455</v>
      </c>
    </row>
    <row r="101" spans="3:15" outlineLevel="1" x14ac:dyDescent="0.45">
      <c r="C101" s="69" t="s">
        <v>48</v>
      </c>
      <c r="D101" s="70" t="s">
        <v>46</v>
      </c>
      <c r="E101" s="71">
        <v>109.82299999999999</v>
      </c>
      <c r="F101" s="71">
        <v>116.19499999999999</v>
      </c>
      <c r="G101" s="71">
        <v>107.262</v>
      </c>
      <c r="H101" s="72">
        <f t="shared" ref="H101:L102" si="34">-H36*H$81</f>
        <v>114.18767349345461</v>
      </c>
      <c r="I101" s="72">
        <f t="shared" si="34"/>
        <v>121.81134989251933</v>
      </c>
      <c r="J101" s="72">
        <f t="shared" si="34"/>
        <v>132.12928578992589</v>
      </c>
      <c r="K101" s="72">
        <f t="shared" si="34"/>
        <v>142.08858434657529</v>
      </c>
      <c r="L101" s="72">
        <f t="shared" si="34"/>
        <v>155.82983469098906</v>
      </c>
    </row>
    <row r="102" spans="3:15" outlineLevel="1" x14ac:dyDescent="0.45">
      <c r="C102" s="69" t="s">
        <v>63</v>
      </c>
      <c r="D102" s="70" t="s">
        <v>46</v>
      </c>
      <c r="E102" s="71">
        <v>33.784999999999997</v>
      </c>
      <c r="F102" s="71">
        <v>54.151000000000003</v>
      </c>
      <c r="G102" s="71">
        <v>42.201999999999998</v>
      </c>
      <c r="H102" s="72">
        <f t="shared" si="34"/>
        <v>55.973117193452808</v>
      </c>
      <c r="I102" s="72">
        <f t="shared" si="34"/>
        <v>63.690806588202626</v>
      </c>
      <c r="J102" s="72">
        <f t="shared" si="34"/>
        <v>72.298974717281368</v>
      </c>
      <c r="K102" s="72">
        <f t="shared" si="34"/>
        <v>81.541150960219568</v>
      </c>
      <c r="L102" s="72">
        <f t="shared" si="34"/>
        <v>91.662590182066367</v>
      </c>
    </row>
    <row r="103" spans="3:15" outlineLevel="1" x14ac:dyDescent="0.45">
      <c r="C103" s="22" t="s">
        <v>11</v>
      </c>
      <c r="D103" s="37" t="s">
        <v>46</v>
      </c>
      <c r="E103" s="33">
        <f>SUM(E97:E102)</f>
        <v>4764.8969999999999</v>
      </c>
      <c r="F103" s="33">
        <f t="shared" ref="F103:L103" si="35">SUM(F97:F102)</f>
        <v>5588.9960000000001</v>
      </c>
      <c r="G103" s="33">
        <f t="shared" si="35"/>
        <v>3641.5039999999999</v>
      </c>
      <c r="H103" s="33">
        <f t="shared" si="35"/>
        <v>4302.3051568242518</v>
      </c>
      <c r="I103" s="33">
        <f t="shared" si="35"/>
        <v>5008.1941823754232</v>
      </c>
      <c r="J103" s="33">
        <f t="shared" si="35"/>
        <v>5695.7265584573652</v>
      </c>
      <c r="K103" s="33">
        <f t="shared" si="35"/>
        <v>6268.1410671271533</v>
      </c>
      <c r="L103" s="33">
        <f t="shared" si="35"/>
        <v>6938.2222893759226</v>
      </c>
    </row>
    <row r="104" spans="3:15" outlineLevel="1" x14ac:dyDescent="0.45">
      <c r="E104" s="53"/>
      <c r="F104" s="53"/>
      <c r="G104" s="53"/>
      <c r="H104" s="53"/>
      <c r="I104" s="53"/>
      <c r="J104" s="53"/>
      <c r="K104" s="53"/>
      <c r="L104" s="53"/>
    </row>
    <row r="105" spans="3:15" outlineLevel="1" x14ac:dyDescent="0.45">
      <c r="C105" s="18" t="s">
        <v>25</v>
      </c>
      <c r="E105" s="53"/>
      <c r="F105" s="53"/>
      <c r="G105" s="53"/>
      <c r="H105" s="53"/>
      <c r="I105" s="53"/>
      <c r="J105" s="53"/>
      <c r="K105" s="53"/>
      <c r="L105" s="53"/>
    </row>
    <row r="106" spans="3:15" outlineLevel="1" x14ac:dyDescent="0.45">
      <c r="C106" s="69" t="s">
        <v>64</v>
      </c>
      <c r="D106" s="70" t="s">
        <v>46</v>
      </c>
      <c r="E106" s="71">
        <v>61.442999999999998</v>
      </c>
      <c r="F106" s="71">
        <v>76.430999999999997</v>
      </c>
      <c r="G106" s="71">
        <v>0</v>
      </c>
      <c r="H106" s="72">
        <f>G106</f>
        <v>0</v>
      </c>
      <c r="I106" s="72">
        <f>H106</f>
        <v>0</v>
      </c>
      <c r="J106" s="72">
        <f>I106</f>
        <v>0</v>
      </c>
      <c r="K106" s="72">
        <f>J106</f>
        <v>0</v>
      </c>
      <c r="L106" s="72">
        <f>K106</f>
        <v>0</v>
      </c>
    </row>
    <row r="107" spans="3:15" outlineLevel="1" x14ac:dyDescent="0.45">
      <c r="C107" s="69" t="s">
        <v>47</v>
      </c>
      <c r="D107" s="70" t="s">
        <v>46</v>
      </c>
      <c r="E107" s="71">
        <v>516.89700000000005</v>
      </c>
      <c r="F107" s="71">
        <v>890.79600000000005</v>
      </c>
      <c r="G107" s="71">
        <v>1047.0239999999999</v>
      </c>
      <c r="H107" s="72">
        <f>G107-H145-H147-H148-H150-H170-H171-H172-H173</f>
        <v>1263.8017133368612</v>
      </c>
      <c r="I107" s="72">
        <f t="shared" ref="I107:L107" si="36">H107-I145-I147-I148-I150-I170-I171-I172-I173</f>
        <v>1518.1820230535793</v>
      </c>
      <c r="J107" s="72">
        <f t="shared" si="36"/>
        <v>1814.5518395562674</v>
      </c>
      <c r="K107" s="72">
        <f t="shared" si="36"/>
        <v>2157.2129122876117</v>
      </c>
      <c r="L107" s="72">
        <f t="shared" si="36"/>
        <v>2553.0018253855842</v>
      </c>
    </row>
    <row r="108" spans="3:15" outlineLevel="1" x14ac:dyDescent="0.45">
      <c r="C108" s="69" t="s">
        <v>59</v>
      </c>
      <c r="D108" s="70" t="s">
        <v>46</v>
      </c>
      <c r="E108" s="71">
        <v>177.03899999999999</v>
      </c>
      <c r="F108" s="71">
        <v>175.00299999999999</v>
      </c>
      <c r="G108" s="71">
        <v>184.26</v>
      </c>
      <c r="H108" s="72">
        <f>G108-H152</f>
        <v>166.20949146610548</v>
      </c>
      <c r="I108" s="72">
        <f t="shared" ref="I108:L108" si="37">H108-I152</f>
        <v>145.66292473819962</v>
      </c>
      <c r="J108" s="72">
        <f t="shared" si="37"/>
        <v>122.65857141717413</v>
      </c>
      <c r="K108" s="72">
        <f t="shared" si="37"/>
        <v>97.018586038314467</v>
      </c>
      <c r="L108" s="72">
        <f t="shared" si="37"/>
        <v>68.547527975315731</v>
      </c>
    </row>
    <row r="109" spans="3:15" outlineLevel="1" x14ac:dyDescent="0.45">
      <c r="C109" s="69" t="s">
        <v>65</v>
      </c>
      <c r="D109" s="70" t="s">
        <v>46</v>
      </c>
      <c r="E109" s="71">
        <v>1417.941</v>
      </c>
      <c r="F109" s="71">
        <v>1417.941</v>
      </c>
      <c r="G109" s="71">
        <v>1331.643</v>
      </c>
      <c r="H109" s="72">
        <f>G109</f>
        <v>1331.643</v>
      </c>
      <c r="I109" s="72">
        <f>H109</f>
        <v>1331.643</v>
      </c>
      <c r="J109" s="72">
        <f>I109</f>
        <v>1331.643</v>
      </c>
      <c r="K109" s="72">
        <f>J109</f>
        <v>1331.643</v>
      </c>
      <c r="L109" s="72">
        <f>K109</f>
        <v>1331.643</v>
      </c>
    </row>
    <row r="110" spans="3:15" ht="14.5" customHeight="1" outlineLevel="1" x14ac:dyDescent="0.45">
      <c r="C110" s="69" t="s">
        <v>66</v>
      </c>
      <c r="D110" s="70" t="s">
        <v>46</v>
      </c>
      <c r="E110" s="71">
        <v>1220.4100000000001</v>
      </c>
      <c r="F110" s="71">
        <v>1427.1389999999999</v>
      </c>
      <c r="G110" s="71">
        <v>1414.252</v>
      </c>
      <c r="H110" s="72">
        <f>G110-H149-H174</f>
        <v>1445.4914948101728</v>
      </c>
      <c r="I110" s="72">
        <f>H110-I149-I174</f>
        <v>1480.7906425863387</v>
      </c>
      <c r="J110" s="72">
        <f>I110-J149-J174</f>
        <v>1520.4461497810264</v>
      </c>
      <c r="K110" s="72">
        <f>J110-K149-K174</f>
        <v>1564.7129963339169</v>
      </c>
      <c r="L110" s="72">
        <f>K110-L149-L174</f>
        <v>1614.1371768927363</v>
      </c>
    </row>
    <row r="111" spans="3:15" outlineLevel="1" x14ac:dyDescent="0.45">
      <c r="C111" s="76" t="s">
        <v>12</v>
      </c>
      <c r="D111" s="77" t="s">
        <v>46</v>
      </c>
      <c r="E111" s="78">
        <v>134.47800000000001</v>
      </c>
      <c r="F111" s="78">
        <v>110.21599999999999</v>
      </c>
      <c r="G111" s="78">
        <v>100.40600000000001</v>
      </c>
      <c r="H111" s="79">
        <f>G111-H175-H146</f>
        <v>113.62652825064684</v>
      </c>
      <c r="I111" s="79">
        <f>H111-I175-I146</f>
        <v>125.31628374982398</v>
      </c>
      <c r="J111" s="79">
        <f>I111-J175-J146</f>
        <v>135.36338743877411</v>
      </c>
      <c r="K111" s="79">
        <f>J111-K175-K146</f>
        <v>143.67169406885057</v>
      </c>
      <c r="L111" s="79">
        <f>K111-L175-L146</f>
        <v>150.0353255179111</v>
      </c>
    </row>
    <row r="112" spans="3:15" ht="14.5" customHeight="1" outlineLevel="1" x14ac:dyDescent="0.45">
      <c r="C112" s="18" t="s">
        <v>26</v>
      </c>
      <c r="D112" s="15" t="s">
        <v>46</v>
      </c>
      <c r="E112" s="31">
        <f t="shared" ref="E112:L112" si="38">SUM(E106:E111)</f>
        <v>3528.2080000000005</v>
      </c>
      <c r="F112" s="31">
        <f t="shared" si="38"/>
        <v>4097.5260000000007</v>
      </c>
      <c r="G112" s="31">
        <f t="shared" si="38"/>
        <v>4077.5849999999996</v>
      </c>
      <c r="H112" s="31">
        <f t="shared" si="38"/>
        <v>4320.7722278637866</v>
      </c>
      <c r="I112" s="31">
        <f t="shared" si="38"/>
        <v>4601.5948741279417</v>
      </c>
      <c r="J112" s="31">
        <f t="shared" si="38"/>
        <v>4924.6629481932423</v>
      </c>
      <c r="K112" s="31">
        <f t="shared" si="38"/>
        <v>5294.2591887286935</v>
      </c>
      <c r="L112" s="31">
        <f t="shared" si="38"/>
        <v>5717.3648557715469</v>
      </c>
    </row>
    <row r="113" spans="2:12" outlineLevel="1" x14ac:dyDescent="0.45">
      <c r="C113" s="18"/>
      <c r="E113" s="19"/>
      <c r="F113" s="19"/>
      <c r="G113" s="19"/>
      <c r="H113" s="19"/>
      <c r="I113" s="53"/>
      <c r="J113" s="53"/>
      <c r="K113" s="53"/>
      <c r="L113" s="53"/>
    </row>
    <row r="114" spans="2:12" outlineLevel="1" x14ac:dyDescent="0.45">
      <c r="C114" s="18" t="s">
        <v>13</v>
      </c>
      <c r="D114" s="15" t="s">
        <v>46</v>
      </c>
      <c r="E114" s="35">
        <f t="shared" ref="E114:L114" si="39">E103+E112</f>
        <v>8293.1049999999996</v>
      </c>
      <c r="F114" s="35">
        <f t="shared" si="39"/>
        <v>9686.5220000000008</v>
      </c>
      <c r="G114" s="35">
        <f t="shared" si="39"/>
        <v>7719.0889999999999</v>
      </c>
      <c r="H114" s="35">
        <f t="shared" si="39"/>
        <v>8623.0773846880384</v>
      </c>
      <c r="I114" s="35">
        <f t="shared" si="39"/>
        <v>9609.7890565033649</v>
      </c>
      <c r="J114" s="35">
        <f t="shared" si="39"/>
        <v>10620.389506650608</v>
      </c>
      <c r="K114" s="35">
        <f t="shared" si="39"/>
        <v>11562.400255855846</v>
      </c>
      <c r="L114" s="35">
        <f t="shared" si="39"/>
        <v>12655.58714514747</v>
      </c>
    </row>
    <row r="115" spans="2:12" ht="14.5" customHeight="1" x14ac:dyDescent="0.45">
      <c r="C115" s="18"/>
      <c r="E115" s="19"/>
      <c r="F115" s="19"/>
      <c r="G115" s="19"/>
      <c r="H115" s="53"/>
      <c r="I115" s="53"/>
      <c r="J115" s="53"/>
      <c r="K115" s="53"/>
      <c r="L115" s="53"/>
    </row>
    <row r="116" spans="2:12" ht="14.5" customHeight="1" x14ac:dyDescent="0.45">
      <c r="B116" s="14" t="s">
        <v>27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2:12" outlineLevel="1" x14ac:dyDescent="0.45">
      <c r="C117" s="2" t="s">
        <v>28</v>
      </c>
      <c r="D117" s="2"/>
      <c r="E117" s="53"/>
      <c r="F117" s="53"/>
      <c r="G117" s="53"/>
      <c r="H117" s="53"/>
      <c r="I117" s="53"/>
      <c r="J117" s="53"/>
      <c r="K117" s="53"/>
      <c r="L117" s="53"/>
    </row>
    <row r="118" spans="2:12" outlineLevel="1" x14ac:dyDescent="0.45">
      <c r="C118" s="69" t="s">
        <v>14</v>
      </c>
      <c r="D118" s="70" t="s">
        <v>46</v>
      </c>
      <c r="E118" s="73">
        <v>444.26499999999999</v>
      </c>
      <c r="F118" s="73">
        <v>564.37900000000002</v>
      </c>
      <c r="G118" s="73">
        <v>466.77499999999998</v>
      </c>
      <c r="H118" s="80">
        <f>-H39*H$76</f>
        <v>566.93332869639119</v>
      </c>
      <c r="I118" s="80">
        <f>-I39*I$76</f>
        <v>637.80424263386953</v>
      </c>
      <c r="J118" s="80">
        <f>-J39*J$76</f>
        <v>713.36779246428671</v>
      </c>
      <c r="K118" s="80">
        <f>-K39*K$76</f>
        <v>791.04808897184455</v>
      </c>
      <c r="L118" s="80">
        <f>-L39*L$76</f>
        <v>883.2095941900933</v>
      </c>
    </row>
    <row r="119" spans="2:12" outlineLevel="1" x14ac:dyDescent="0.45">
      <c r="C119" s="69" t="s">
        <v>51</v>
      </c>
      <c r="D119" s="70" t="s">
        <v>46</v>
      </c>
      <c r="E119" s="71">
        <v>172.99100000000001</v>
      </c>
      <c r="F119" s="71">
        <v>183.988</v>
      </c>
      <c r="G119" s="71">
        <v>220.76400000000001</v>
      </c>
      <c r="H119" s="75">
        <f t="shared" ref="H119:L120" si="40">-H40*H$81</f>
        <v>248.16845190408955</v>
      </c>
      <c r="I119" s="75">
        <f t="shared" si="40"/>
        <v>282.3864323455237</v>
      </c>
      <c r="J119" s="75">
        <f t="shared" si="40"/>
        <v>320.5525353863863</v>
      </c>
      <c r="K119" s="75">
        <f t="shared" si="40"/>
        <v>361.52964521051115</v>
      </c>
      <c r="L119" s="75">
        <f t="shared" si="40"/>
        <v>406.40515025064957</v>
      </c>
    </row>
    <row r="120" spans="2:12" outlineLevel="1" x14ac:dyDescent="0.45">
      <c r="C120" s="69" t="s">
        <v>67</v>
      </c>
      <c r="D120" s="70" t="s">
        <v>46</v>
      </c>
      <c r="E120" s="71">
        <v>255.631</v>
      </c>
      <c r="F120" s="71">
        <v>269.06099999999998</v>
      </c>
      <c r="G120" s="71">
        <v>267.71100000000001</v>
      </c>
      <c r="H120" s="75">
        <f t="shared" si="40"/>
        <v>297.36373305587136</v>
      </c>
      <c r="I120" s="75">
        <f t="shared" si="40"/>
        <v>324.83026638005157</v>
      </c>
      <c r="J120" s="75">
        <f t="shared" si="40"/>
        <v>353.3690201358483</v>
      </c>
      <c r="K120" s="75">
        <f t="shared" si="40"/>
        <v>381.21327507617764</v>
      </c>
      <c r="L120" s="75">
        <f t="shared" si="40"/>
        <v>409.0533160638463</v>
      </c>
    </row>
    <row r="121" spans="2:12" outlineLevel="1" x14ac:dyDescent="0.45">
      <c r="C121" s="69" t="s">
        <v>52</v>
      </c>
      <c r="D121" s="70" t="s">
        <v>46</v>
      </c>
      <c r="E121" s="71">
        <v>43.311</v>
      </c>
      <c r="F121" s="71">
        <v>41.914000000000001</v>
      </c>
      <c r="G121" s="71">
        <v>45.808999999999997</v>
      </c>
      <c r="H121" s="75">
        <f>H43*H$73</f>
        <v>52.438465767502265</v>
      </c>
      <c r="I121" s="75">
        <f>I43*I$73</f>
        <v>59.25297971463047</v>
      </c>
      <c r="J121" s="75">
        <f>J43*J$73</f>
        <v>66.565543686206112</v>
      </c>
      <c r="K121" s="75">
        <f>K43*K$73</f>
        <v>74.306115758412048</v>
      </c>
      <c r="L121" s="75">
        <f>L43*L$73</f>
        <v>82.96319182077572</v>
      </c>
    </row>
    <row r="122" spans="2:12" outlineLevel="1" x14ac:dyDescent="0.45">
      <c r="C122" s="69" t="s">
        <v>68</v>
      </c>
      <c r="D122" s="70" t="s">
        <v>46</v>
      </c>
      <c r="E122" s="71">
        <v>72.462999999999994</v>
      </c>
      <c r="F122" s="71">
        <v>87.391999999999996</v>
      </c>
      <c r="G122" s="71">
        <v>92.453999999999994</v>
      </c>
      <c r="H122" s="75">
        <f>-H44*H$81</f>
        <v>108.39252950585157</v>
      </c>
      <c r="I122" s="75">
        <f>-I44*I$81</f>
        <v>123.33791610181675</v>
      </c>
      <c r="J122" s="75">
        <f>-J44*J$81</f>
        <v>140.00772412229338</v>
      </c>
      <c r="K122" s="75">
        <f>-K44*K$81</f>
        <v>157.90529551622924</v>
      </c>
      <c r="L122" s="75">
        <f>-L44*L$81</f>
        <v>177.5055689064709</v>
      </c>
    </row>
    <row r="123" spans="2:12" outlineLevel="1" x14ac:dyDescent="0.45">
      <c r="C123" s="76" t="s">
        <v>69</v>
      </c>
      <c r="D123" s="77" t="s">
        <v>46</v>
      </c>
      <c r="E123" s="78">
        <v>13.317</v>
      </c>
      <c r="F123" s="78">
        <v>14.955</v>
      </c>
      <c r="G123" s="78">
        <v>4.0060000000000002</v>
      </c>
      <c r="H123" s="79">
        <f>-H46*H$90</f>
        <v>13.08241812366475</v>
      </c>
      <c r="I123" s="79">
        <f>-I46*I$90</f>
        <v>14.891479452531954</v>
      </c>
      <c r="J123" s="79">
        <f>-J46*J$90</f>
        <v>16.672802776999603</v>
      </c>
      <c r="K123" s="79">
        <f>-K46*K$90</f>
        <v>18.583022676675867</v>
      </c>
      <c r="L123" s="79">
        <f>-L46*L$90</f>
        <v>20.634891549114904</v>
      </c>
    </row>
    <row r="124" spans="2:12" outlineLevel="1" x14ac:dyDescent="0.45">
      <c r="C124" s="18" t="s">
        <v>15</v>
      </c>
      <c r="D124" s="15" t="s">
        <v>46</v>
      </c>
      <c r="E124" s="31">
        <f>SUM(E118:E123)</f>
        <v>1001.978</v>
      </c>
      <c r="F124" s="31">
        <f t="shared" ref="F124:L124" si="41">SUM(F118:F123)</f>
        <v>1161.6889999999999</v>
      </c>
      <c r="G124" s="31">
        <f t="shared" si="41"/>
        <v>1097.519</v>
      </c>
      <c r="H124" s="31">
        <f t="shared" si="41"/>
        <v>1286.3789270533707</v>
      </c>
      <c r="I124" s="31">
        <f t="shared" si="41"/>
        <v>1442.503316628424</v>
      </c>
      <c r="J124" s="31">
        <f t="shared" si="41"/>
        <v>1610.5354185720205</v>
      </c>
      <c r="K124" s="31">
        <f t="shared" si="41"/>
        <v>1784.5854432098506</v>
      </c>
      <c r="L124" s="31">
        <f t="shared" si="41"/>
        <v>1979.7717127809508</v>
      </c>
    </row>
    <row r="125" spans="2:12" outlineLevel="1" x14ac:dyDescent="0.45">
      <c r="E125" s="53"/>
      <c r="F125" s="53"/>
      <c r="G125" s="53"/>
      <c r="H125" s="53"/>
      <c r="I125" s="53"/>
      <c r="J125" s="53"/>
      <c r="K125" s="53"/>
      <c r="L125" s="53"/>
    </row>
    <row r="126" spans="2:12" outlineLevel="1" x14ac:dyDescent="0.45">
      <c r="C126" s="18" t="s">
        <v>29</v>
      </c>
      <c r="E126" s="52"/>
      <c r="F126" s="52"/>
      <c r="G126" s="52"/>
      <c r="H126" s="52"/>
      <c r="I126" s="52"/>
      <c r="J126" s="52"/>
      <c r="K126" s="52"/>
      <c r="L126" s="52"/>
    </row>
    <row r="127" spans="2:12" outlineLevel="1" x14ac:dyDescent="0.45">
      <c r="C127" s="69" t="s">
        <v>52</v>
      </c>
      <c r="D127" s="70" t="s">
        <v>46</v>
      </c>
      <c r="E127" s="71">
        <v>223.8</v>
      </c>
      <c r="F127" s="71">
        <v>204.251</v>
      </c>
      <c r="G127" s="71">
        <v>179.00800000000001</v>
      </c>
      <c r="H127" s="75">
        <f>H48*H$73</f>
        <v>183.63514743099427</v>
      </c>
      <c r="I127" s="75">
        <f>I48*I$73</f>
        <v>188.63546247389758</v>
      </c>
      <c r="J127" s="75">
        <f>J48*J$73</f>
        <v>190.72390891889862</v>
      </c>
      <c r="K127" s="75">
        <f>K48*K$73</f>
        <v>189.24642883086696</v>
      </c>
      <c r="L127" s="75">
        <f>L48*L$73</f>
        <v>198.08877291227424</v>
      </c>
    </row>
    <row r="128" spans="2:12" outlineLevel="1" x14ac:dyDescent="0.45">
      <c r="C128" s="69" t="s">
        <v>70</v>
      </c>
      <c r="D128" s="70" t="s">
        <v>46</v>
      </c>
      <c r="E128" s="71">
        <v>42.286000000000001</v>
      </c>
      <c r="F128" s="71">
        <v>91.837999999999994</v>
      </c>
      <c r="G128" s="71">
        <v>110.893</v>
      </c>
      <c r="H128" s="75">
        <f>-H49*H$81</f>
        <v>128.46113268013642</v>
      </c>
      <c r="I128" s="75">
        <f>-I49*I$81</f>
        <v>148.88053875752365</v>
      </c>
      <c r="J128" s="75">
        <f>-J49*J$81</f>
        <v>175.14812302385525</v>
      </c>
      <c r="K128" s="75">
        <f>-K49*K$81</f>
        <v>204.4689384499498</v>
      </c>
      <c r="L128" s="75">
        <f>-L49*L$81</f>
        <v>233.74475203648359</v>
      </c>
    </row>
    <row r="129" spans="2:12" outlineLevel="1" x14ac:dyDescent="0.45">
      <c r="C129" s="76" t="s">
        <v>71</v>
      </c>
      <c r="D129" s="77" t="s">
        <v>46</v>
      </c>
      <c r="E129" s="78">
        <v>0</v>
      </c>
      <c r="F129" s="78">
        <v>0</v>
      </c>
      <c r="G129" s="78">
        <v>373.95100000000002</v>
      </c>
      <c r="H129" s="79">
        <f>G129+H179+H180+H181+H182</f>
        <v>273.95100000000002</v>
      </c>
      <c r="I129" s="79">
        <f>H129+I179+I180+I181+I182</f>
        <v>273.95100000000002</v>
      </c>
      <c r="J129" s="79">
        <f>I129+J179+J180+J181+J182</f>
        <v>273.95100000000002</v>
      </c>
      <c r="K129" s="79">
        <f>J129+K179+K180+K181+K182</f>
        <v>173.95100000000002</v>
      </c>
      <c r="L129" s="79">
        <f>K129+L179+L180+L181+L182</f>
        <v>173.95100000000002</v>
      </c>
    </row>
    <row r="130" spans="2:12" outlineLevel="1" x14ac:dyDescent="0.45">
      <c r="C130" s="18" t="s">
        <v>50</v>
      </c>
      <c r="D130" s="15" t="s">
        <v>46</v>
      </c>
      <c r="E130" s="31">
        <f>SUM(E127:E129)</f>
        <v>266.08600000000001</v>
      </c>
      <c r="F130" s="31">
        <f t="shared" ref="F130:L130" si="42">SUM(F127:F129)</f>
        <v>296.089</v>
      </c>
      <c r="G130" s="31">
        <f t="shared" si="42"/>
        <v>663.85200000000009</v>
      </c>
      <c r="H130" s="31">
        <f t="shared" si="42"/>
        <v>586.0472801111307</v>
      </c>
      <c r="I130" s="31">
        <f t="shared" si="42"/>
        <v>611.46700123142125</v>
      </c>
      <c r="J130" s="31">
        <f t="shared" si="42"/>
        <v>639.82303194275391</v>
      </c>
      <c r="K130" s="31">
        <f t="shared" si="42"/>
        <v>567.66636728081676</v>
      </c>
      <c r="L130" s="31">
        <f t="shared" si="42"/>
        <v>605.78452494875785</v>
      </c>
    </row>
    <row r="131" spans="2:12" outlineLevel="1" x14ac:dyDescent="0.45">
      <c r="C131" s="18"/>
      <c r="E131" s="19"/>
      <c r="F131" s="19"/>
      <c r="G131" s="19"/>
      <c r="H131" s="19"/>
      <c r="I131" s="19"/>
      <c r="J131" s="19"/>
      <c r="K131" s="19"/>
      <c r="L131" s="19"/>
    </row>
    <row r="132" spans="2:12" outlineLevel="1" x14ac:dyDescent="0.45">
      <c r="C132" s="18" t="s">
        <v>16</v>
      </c>
      <c r="D132" s="15" t="s">
        <v>46</v>
      </c>
      <c r="E132" s="31">
        <f t="shared" ref="E132:L132" si="43">E124+E130</f>
        <v>1268.0639999999999</v>
      </c>
      <c r="F132" s="31">
        <f t="shared" si="43"/>
        <v>1457.7779999999998</v>
      </c>
      <c r="G132" s="31">
        <f t="shared" si="43"/>
        <v>1761.3710000000001</v>
      </c>
      <c r="H132" s="31">
        <f t="shared" si="43"/>
        <v>1872.4262071645014</v>
      </c>
      <c r="I132" s="31">
        <f t="shared" si="43"/>
        <v>2053.9703178598452</v>
      </c>
      <c r="J132" s="31">
        <f t="shared" si="43"/>
        <v>2250.3584505147746</v>
      </c>
      <c r="K132" s="31">
        <f t="shared" si="43"/>
        <v>2352.2518104906676</v>
      </c>
      <c r="L132" s="31">
        <f t="shared" si="43"/>
        <v>2585.5562377297088</v>
      </c>
    </row>
    <row r="133" spans="2:12" outlineLevel="1" x14ac:dyDescent="0.45">
      <c r="E133" s="53"/>
      <c r="F133" s="53"/>
      <c r="G133" s="53"/>
      <c r="H133" s="53"/>
      <c r="I133" s="53"/>
      <c r="J133" s="53"/>
      <c r="K133" s="53"/>
      <c r="L133" s="53"/>
    </row>
    <row r="134" spans="2:12" outlineLevel="1" x14ac:dyDescent="0.45">
      <c r="C134" s="85" t="s">
        <v>72</v>
      </c>
      <c r="D134" s="70" t="s">
        <v>46</v>
      </c>
      <c r="E134" s="86">
        <v>7025.0410000000002</v>
      </c>
      <c r="F134" s="86">
        <v>8228.7440000000006</v>
      </c>
      <c r="G134" s="86">
        <v>5957.7180000000008</v>
      </c>
      <c r="H134" s="87">
        <f>G134+H183+H151+H143+H187+H184</f>
        <v>6750.6511775235367</v>
      </c>
      <c r="I134" s="87">
        <f>H134+I183+I151+I143+I187+I184</f>
        <v>7555.8187386435202</v>
      </c>
      <c r="J134" s="87">
        <f>I134+J183+J151+J143+J187+J184</f>
        <v>8370.0310561358347</v>
      </c>
      <c r="K134" s="87">
        <f>J134+K183+K151+K143+K187+K184</f>
        <v>9210.148445365181</v>
      </c>
      <c r="L134" s="87">
        <f>K134+L183+L151+L143+L187+L184</f>
        <v>10070.030907417764</v>
      </c>
    </row>
    <row r="135" spans="2:12" outlineLevel="1" x14ac:dyDescent="0.45">
      <c r="C135" s="18"/>
      <c r="E135" s="19"/>
      <c r="F135" s="19"/>
      <c r="G135" s="19"/>
      <c r="H135" s="53"/>
      <c r="I135" s="53"/>
      <c r="J135" s="53"/>
      <c r="K135" s="53"/>
      <c r="L135" s="53"/>
    </row>
    <row r="136" spans="2:12" outlineLevel="1" x14ac:dyDescent="0.45">
      <c r="C136" s="18" t="s">
        <v>44</v>
      </c>
      <c r="D136" s="15" t="s">
        <v>46</v>
      </c>
      <c r="E136" s="35">
        <f>E132+E134</f>
        <v>8293.1049999999996</v>
      </c>
      <c r="F136" s="35">
        <f>F132+F134</f>
        <v>9686.5220000000008</v>
      </c>
      <c r="G136" s="35">
        <f>G132+G134</f>
        <v>7719.0890000000009</v>
      </c>
      <c r="H136" s="35">
        <f>H132+H134</f>
        <v>8623.0773846880384</v>
      </c>
      <c r="I136" s="35">
        <f t="shared" ref="I136:L136" si="44">I132+I134</f>
        <v>9609.7890565033649</v>
      </c>
      <c r="J136" s="35">
        <f t="shared" si="44"/>
        <v>10620.389506650608</v>
      </c>
      <c r="K136" s="35">
        <f t="shared" si="44"/>
        <v>11562.40025585585</v>
      </c>
      <c r="L136" s="35">
        <f t="shared" si="44"/>
        <v>12655.587145147472</v>
      </c>
    </row>
    <row r="137" spans="2:12" outlineLevel="1" x14ac:dyDescent="0.45">
      <c r="C137" s="44"/>
      <c r="E137" s="53"/>
      <c r="F137" s="53"/>
      <c r="G137" s="19"/>
      <c r="H137" s="19"/>
      <c r="I137" s="19"/>
      <c r="J137" s="19"/>
      <c r="K137" s="19"/>
      <c r="L137" s="19"/>
    </row>
    <row r="138" spans="2:12" outlineLevel="1" x14ac:dyDescent="0.45">
      <c r="C138" s="21" t="s">
        <v>30</v>
      </c>
      <c r="E138" s="68">
        <f t="shared" ref="E138:L138" si="45">E114-E136</f>
        <v>0</v>
      </c>
      <c r="F138" s="68">
        <f t="shared" si="45"/>
        <v>0</v>
      </c>
      <c r="G138" s="68">
        <f t="shared" si="45"/>
        <v>0</v>
      </c>
      <c r="H138" s="68">
        <f t="shared" si="45"/>
        <v>0</v>
      </c>
      <c r="I138" s="68">
        <f t="shared" si="45"/>
        <v>0</v>
      </c>
      <c r="J138" s="68">
        <f t="shared" si="45"/>
        <v>0</v>
      </c>
      <c r="K138" s="68">
        <f t="shared" si="45"/>
        <v>0</v>
      </c>
      <c r="L138" s="68">
        <f t="shared" si="45"/>
        <v>0</v>
      </c>
    </row>
    <row r="139" spans="2:12" x14ac:dyDescent="0.45">
      <c r="I139" s="67"/>
    </row>
    <row r="140" spans="2:12" x14ac:dyDescent="0.45">
      <c r="B140" s="8"/>
      <c r="C140" s="8"/>
      <c r="D140" s="8"/>
      <c r="E140" s="9" t="str">
        <f>$E$11</f>
        <v>Historical:</v>
      </c>
      <c r="F140" s="9"/>
      <c r="G140" s="9"/>
      <c r="H140" s="10" t="str">
        <f>$H$11</f>
        <v>Projected:</v>
      </c>
      <c r="I140" s="9"/>
      <c r="J140" s="9"/>
      <c r="K140" s="9"/>
      <c r="L140" s="9"/>
    </row>
    <row r="141" spans="2:12" x14ac:dyDescent="0.45">
      <c r="B141" s="25" t="s">
        <v>17</v>
      </c>
      <c r="C141" s="25"/>
      <c r="D141" s="26" t="str">
        <f>$D$12</f>
        <v>Units:</v>
      </c>
      <c r="E141" s="27">
        <f>$E$12</f>
        <v>44926</v>
      </c>
      <c r="F141" s="27">
        <f>$F$12</f>
        <v>45291</v>
      </c>
      <c r="G141" s="27">
        <f>$G$12</f>
        <v>45657</v>
      </c>
      <c r="H141" s="28">
        <f>$H$12</f>
        <v>46022</v>
      </c>
      <c r="I141" s="27">
        <f>$I$12</f>
        <v>46387</v>
      </c>
      <c r="J141" s="27">
        <f>$J$12</f>
        <v>46752</v>
      </c>
      <c r="K141" s="27">
        <f>$K$12</f>
        <v>47118</v>
      </c>
      <c r="L141" s="27">
        <f>$L$12</f>
        <v>47483</v>
      </c>
    </row>
    <row r="142" spans="2:12" x14ac:dyDescent="0.45">
      <c r="B142" s="14" t="s">
        <v>31</v>
      </c>
      <c r="C142" s="29"/>
      <c r="D142" s="14"/>
      <c r="E142" s="14" t="s">
        <v>32</v>
      </c>
      <c r="F142" s="14" t="s">
        <v>32</v>
      </c>
      <c r="G142" s="14" t="s">
        <v>32</v>
      </c>
      <c r="H142" s="14" t="s">
        <v>32</v>
      </c>
      <c r="I142" s="14" t="s">
        <v>32</v>
      </c>
      <c r="J142" s="14" t="s">
        <v>32</v>
      </c>
      <c r="K142" s="14" t="s">
        <v>32</v>
      </c>
      <c r="L142" s="14" t="s">
        <v>32</v>
      </c>
    </row>
    <row r="143" spans="2:12" outlineLevel="1" x14ac:dyDescent="0.45">
      <c r="C143" s="81" t="s">
        <v>7</v>
      </c>
      <c r="D143" s="70" t="s">
        <v>46</v>
      </c>
      <c r="E143" s="82">
        <f t="shared" ref="E143:L143" si="46">E91</f>
        <v>1191.624</v>
      </c>
      <c r="F143" s="82">
        <f t="shared" si="46"/>
        <v>1630.9451000208064</v>
      </c>
      <c r="G143" s="82">
        <f t="shared" si="46"/>
        <v>1509.0007040726728</v>
      </c>
      <c r="H143" s="82">
        <f t="shared" si="46"/>
        <v>1678.9574829547453</v>
      </c>
      <c r="I143" s="82">
        <f t="shared" si="46"/>
        <v>1911.1268744628346</v>
      </c>
      <c r="J143" s="82">
        <f t="shared" si="46"/>
        <v>2139.7364554214801</v>
      </c>
      <c r="K143" s="82">
        <f t="shared" si="46"/>
        <v>2384.8882281544638</v>
      </c>
      <c r="L143" s="82">
        <f t="shared" si="46"/>
        <v>2648.2187963153901</v>
      </c>
    </row>
    <row r="144" spans="2:12" outlineLevel="1" x14ac:dyDescent="0.45">
      <c r="C144" s="2" t="s">
        <v>33</v>
      </c>
      <c r="E144" s="57"/>
      <c r="F144" s="52"/>
      <c r="G144" s="52"/>
      <c r="H144" s="52"/>
      <c r="I144" s="52"/>
      <c r="J144" s="52"/>
      <c r="K144" s="52"/>
      <c r="L144" s="52"/>
    </row>
    <row r="145" spans="3:12" outlineLevel="1" x14ac:dyDescent="0.45">
      <c r="C145" s="69" t="s">
        <v>94</v>
      </c>
      <c r="D145" s="70" t="s">
        <v>46</v>
      </c>
      <c r="E145" s="71">
        <v>61.241</v>
      </c>
      <c r="F145" s="71">
        <v>68.897999999999996</v>
      </c>
      <c r="G145" s="71">
        <v>80.433999999999997</v>
      </c>
      <c r="H145" s="75">
        <f>H52*H$73</f>
        <v>83.71616427749295</v>
      </c>
      <c r="I145" s="75">
        <f>I52*I$73</f>
        <v>94.595295859992433</v>
      </c>
      <c r="J145" s="75">
        <f>J52*J$73</f>
        <v>106.26954677054233</v>
      </c>
      <c r="K145" s="75">
        <f>K52*K$73</f>
        <v>118.62709754389387</v>
      </c>
      <c r="L145" s="75">
        <f>L52*L$73</f>
        <v>132.44781466809187</v>
      </c>
    </row>
    <row r="146" spans="3:12" outlineLevel="1" x14ac:dyDescent="0.45">
      <c r="C146" s="69" t="s">
        <v>73</v>
      </c>
      <c r="D146" s="70" t="s">
        <v>46</v>
      </c>
      <c r="E146" s="71">
        <v>7.3369999999999997</v>
      </c>
      <c r="F146" s="71">
        <v>9.0429999999999993</v>
      </c>
      <c r="G146" s="71">
        <v>13.521000000000001</v>
      </c>
      <c r="H146" s="75">
        <f>H73*H53</f>
        <v>11.779471749353167</v>
      </c>
      <c r="I146" s="75">
        <f t="shared" ref="I146:L146" si="47">I73*I53</f>
        <v>13.310244500822881</v>
      </c>
      <c r="J146" s="75">
        <f t="shared" si="47"/>
        <v>14.952896311049861</v>
      </c>
      <c r="K146" s="75">
        <f t="shared" si="47"/>
        <v>16.691693369923556</v>
      </c>
      <c r="L146" s="75">
        <f t="shared" si="47"/>
        <v>18.636368550939473</v>
      </c>
    </row>
    <row r="147" spans="3:12" outlineLevel="1" x14ac:dyDescent="0.45">
      <c r="C147" s="69" t="s">
        <v>93</v>
      </c>
      <c r="D147" s="70" t="s">
        <v>46</v>
      </c>
      <c r="E147" s="71">
        <v>-0.185</v>
      </c>
      <c r="F147" s="71">
        <v>0.16600000000000001</v>
      </c>
      <c r="G147" s="71">
        <v>3.3279999999999998</v>
      </c>
      <c r="H147" s="71">
        <v>0</v>
      </c>
      <c r="I147" s="75">
        <f t="shared" ref="I147:L150" si="48">H147</f>
        <v>0</v>
      </c>
      <c r="J147" s="75">
        <f t="shared" si="48"/>
        <v>0</v>
      </c>
      <c r="K147" s="75">
        <f t="shared" si="48"/>
        <v>0</v>
      </c>
      <c r="L147" s="75">
        <f t="shared" si="48"/>
        <v>0</v>
      </c>
    </row>
    <row r="148" spans="3:12" outlineLevel="1" x14ac:dyDescent="0.45">
      <c r="C148" s="69" t="s">
        <v>90</v>
      </c>
      <c r="D148" s="70" t="s">
        <v>46</v>
      </c>
      <c r="E148" s="71">
        <v>0</v>
      </c>
      <c r="F148" s="71">
        <v>-45.381999999999998</v>
      </c>
      <c r="G148" s="71">
        <v>0</v>
      </c>
      <c r="H148" s="71">
        <v>0</v>
      </c>
      <c r="I148" s="75">
        <f t="shared" si="48"/>
        <v>0</v>
      </c>
      <c r="J148" s="75">
        <f t="shared" si="48"/>
        <v>0</v>
      </c>
      <c r="K148" s="75">
        <f t="shared" si="48"/>
        <v>0</v>
      </c>
      <c r="L148" s="75">
        <f t="shared" si="48"/>
        <v>0</v>
      </c>
    </row>
    <row r="149" spans="3:12" outlineLevel="1" x14ac:dyDescent="0.45">
      <c r="C149" s="69" t="s">
        <v>91</v>
      </c>
      <c r="D149" s="70" t="s">
        <v>46</v>
      </c>
      <c r="E149" s="71">
        <v>2.2000000000000002</v>
      </c>
      <c r="F149" s="71">
        <v>38.700000000000003</v>
      </c>
      <c r="G149" s="71">
        <v>127.098</v>
      </c>
      <c r="H149" s="71">
        <v>0</v>
      </c>
      <c r="I149" s="75">
        <f t="shared" si="48"/>
        <v>0</v>
      </c>
      <c r="J149" s="75">
        <f t="shared" si="48"/>
        <v>0</v>
      </c>
      <c r="K149" s="75">
        <f t="shared" si="48"/>
        <v>0</v>
      </c>
      <c r="L149" s="75">
        <f t="shared" si="48"/>
        <v>0</v>
      </c>
    </row>
    <row r="150" spans="3:12" outlineLevel="1" x14ac:dyDescent="0.45">
      <c r="C150" s="69" t="s">
        <v>92</v>
      </c>
      <c r="D150" s="70" t="s">
        <v>46</v>
      </c>
      <c r="E150" s="71">
        <v>0</v>
      </c>
      <c r="F150" s="71">
        <v>4.3360000000000003</v>
      </c>
      <c r="G150" s="71">
        <v>8.1839999999999993</v>
      </c>
      <c r="H150" s="71">
        <v>0</v>
      </c>
      <c r="I150" s="75">
        <f t="shared" si="48"/>
        <v>0</v>
      </c>
      <c r="J150" s="75">
        <f t="shared" si="48"/>
        <v>0</v>
      </c>
      <c r="K150" s="75">
        <f t="shared" si="48"/>
        <v>0</v>
      </c>
      <c r="L150" s="75">
        <f t="shared" si="48"/>
        <v>0</v>
      </c>
    </row>
    <row r="151" spans="3:12" outlineLevel="1" x14ac:dyDescent="0.45">
      <c r="C151" s="69" t="s">
        <v>74</v>
      </c>
      <c r="D151" s="70" t="s">
        <v>46</v>
      </c>
      <c r="E151" s="71">
        <v>64.108999999999995</v>
      </c>
      <c r="F151" s="71">
        <v>68.835999999999999</v>
      </c>
      <c r="G151" s="71">
        <v>90.984999999999999</v>
      </c>
      <c r="H151" s="75">
        <f>H55*H$73</f>
        <v>88.874438028008498</v>
      </c>
      <c r="I151" s="75">
        <f>I55*I$73</f>
        <v>100.42390059562574</v>
      </c>
      <c r="J151" s="75">
        <f>J55*J$73</f>
        <v>112.81747474020742</v>
      </c>
      <c r="K151" s="75">
        <f>K55*K$73</f>
        <v>125.93645110352688</v>
      </c>
      <c r="L151" s="75">
        <f>L55*L$73</f>
        <v>140.60874860016938</v>
      </c>
    </row>
    <row r="152" spans="3:12" outlineLevel="1" x14ac:dyDescent="0.45">
      <c r="C152" s="69" t="s">
        <v>75</v>
      </c>
      <c r="D152" s="70" t="s">
        <v>46</v>
      </c>
      <c r="E152" s="71">
        <v>48.182000000000002</v>
      </c>
      <c r="F152" s="71">
        <v>2.04</v>
      </c>
      <c r="G152" s="71">
        <v>-11.705</v>
      </c>
      <c r="H152" s="72">
        <f>-H56*H$90</f>
        <v>18.050508533894501</v>
      </c>
      <c r="I152" s="72">
        <f>-I56*I$90</f>
        <v>20.546566727905851</v>
      </c>
      <c r="J152" s="72">
        <f>-J56*J$90</f>
        <v>23.004353321025494</v>
      </c>
      <c r="K152" s="72">
        <f>-K56*K$90</f>
        <v>25.639985378859659</v>
      </c>
      <c r="L152" s="72">
        <f>-L56*L$90</f>
        <v>28.47105806299874</v>
      </c>
    </row>
    <row r="153" spans="3:12" outlineLevel="1" x14ac:dyDescent="0.45">
      <c r="C153" s="2" t="s">
        <v>34</v>
      </c>
      <c r="E153" s="48"/>
      <c r="F153" s="17"/>
      <c r="G153" s="17"/>
      <c r="H153" s="53"/>
      <c r="I153" s="53"/>
      <c r="J153" s="53"/>
      <c r="K153" s="53"/>
      <c r="L153" s="53"/>
    </row>
    <row r="154" spans="3:12" outlineLevel="1" x14ac:dyDescent="0.45">
      <c r="C154" s="69" t="s">
        <v>45</v>
      </c>
      <c r="D154" s="70" t="s">
        <v>46</v>
      </c>
      <c r="E154" s="71">
        <v>-128.98099999999999</v>
      </c>
      <c r="F154" s="71">
        <v>-163.15799999999999</v>
      </c>
      <c r="G154" s="71">
        <v>-93.915000000000006</v>
      </c>
      <c r="H154" s="72">
        <f t="shared" ref="H154:L155" si="49">G99-H99</f>
        <v>-145.28253895420107</v>
      </c>
      <c r="I154" s="72">
        <f t="shared" si="49"/>
        <v>-177.63589107909684</v>
      </c>
      <c r="J154" s="72">
        <f t="shared" si="49"/>
        <v>-190.61870402527484</v>
      </c>
      <c r="K154" s="72">
        <f t="shared" si="49"/>
        <v>-201.77571403867046</v>
      </c>
      <c r="L154" s="72">
        <f t="shared" si="49"/>
        <v>-225.66648662089233</v>
      </c>
    </row>
    <row r="155" spans="3:12" outlineLevel="1" x14ac:dyDescent="0.45">
      <c r="C155" s="69" t="s">
        <v>76</v>
      </c>
      <c r="D155" s="70" t="s">
        <v>46</v>
      </c>
      <c r="E155" s="71">
        <v>-347.71199999999999</v>
      </c>
      <c r="F155" s="71">
        <v>7.8979999999999997</v>
      </c>
      <c r="G155" s="71">
        <v>211.50299999999999</v>
      </c>
      <c r="H155" s="72">
        <f t="shared" si="49"/>
        <v>-63.959595406932749</v>
      </c>
      <c r="I155" s="72">
        <f t="shared" si="49"/>
        <v>-87.2649562482693</v>
      </c>
      <c r="J155" s="72">
        <f t="shared" si="49"/>
        <v>-90.844996734423489</v>
      </c>
      <c r="K155" s="72">
        <f t="shared" si="49"/>
        <v>-85.334613784001135</v>
      </c>
      <c r="L155" s="72">
        <f t="shared" si="49"/>
        <v>-124.02147530001889</v>
      </c>
    </row>
    <row r="156" spans="3:12" outlineLevel="1" x14ac:dyDescent="0.45">
      <c r="C156" s="69" t="s">
        <v>77</v>
      </c>
      <c r="D156" s="70" t="s">
        <v>46</v>
      </c>
      <c r="E156" s="71">
        <v>-38.268000000000001</v>
      </c>
      <c r="F156" s="71">
        <v>-10.215</v>
      </c>
      <c r="G156" s="71">
        <v>8.9589999999999996</v>
      </c>
      <c r="H156" s="72">
        <f>G101-H101</f>
        <v>-6.9256734934546103</v>
      </c>
      <c r="I156" s="72">
        <f t="shared" ref="I156:L156" si="50">H101-I101</f>
        <v>-7.6236763990647205</v>
      </c>
      <c r="J156" s="72">
        <f t="shared" si="50"/>
        <v>-10.317935897406556</v>
      </c>
      <c r="K156" s="72">
        <f t="shared" si="50"/>
        <v>-9.9592985566494008</v>
      </c>
      <c r="L156" s="72">
        <f t="shared" si="50"/>
        <v>-13.741250344413771</v>
      </c>
    </row>
    <row r="157" spans="3:12" outlineLevel="1" x14ac:dyDescent="0.45">
      <c r="C157" s="69" t="s">
        <v>63</v>
      </c>
      <c r="D157" s="70" t="s">
        <v>46</v>
      </c>
      <c r="E157" s="71">
        <v>-4.4390000000000001</v>
      </c>
      <c r="F157" s="71">
        <v>-18.832999999999998</v>
      </c>
      <c r="G157" s="71">
        <v>3.0619999999999998</v>
      </c>
      <c r="H157" s="72">
        <f>G102-H102</f>
        <v>-13.77111719345281</v>
      </c>
      <c r="I157" s="72">
        <f>H102-I102</f>
        <v>-7.7176893947498186</v>
      </c>
      <c r="J157" s="72">
        <f>I102-J102</f>
        <v>-8.6081681290787415</v>
      </c>
      <c r="K157" s="72">
        <f>J102-K102</f>
        <v>-9.2421762429381999</v>
      </c>
      <c r="L157" s="72">
        <f>K102-L102</f>
        <v>-10.121439221846799</v>
      </c>
    </row>
    <row r="158" spans="3:12" outlineLevel="1" x14ac:dyDescent="0.45">
      <c r="C158" s="69" t="s">
        <v>14</v>
      </c>
      <c r="D158" s="70" t="s">
        <v>46</v>
      </c>
      <c r="E158" s="71">
        <v>49.765000000000001</v>
      </c>
      <c r="F158" s="71">
        <v>112.786</v>
      </c>
      <c r="G158" s="71">
        <v>-61.491</v>
      </c>
      <c r="H158" s="72">
        <f t="shared" ref="H158:L160" si="51">H118-G118</f>
        <v>100.15832869639121</v>
      </c>
      <c r="I158" s="72">
        <f t="shared" si="51"/>
        <v>70.870913937478349</v>
      </c>
      <c r="J158" s="72">
        <f t="shared" si="51"/>
        <v>75.563549830417173</v>
      </c>
      <c r="K158" s="72">
        <f t="shared" si="51"/>
        <v>77.680296507557841</v>
      </c>
      <c r="L158" s="72">
        <f t="shared" si="51"/>
        <v>92.161505218248749</v>
      </c>
    </row>
    <row r="159" spans="3:12" outlineLevel="1" x14ac:dyDescent="0.45">
      <c r="C159" s="69" t="s">
        <v>51</v>
      </c>
      <c r="D159" s="70" t="s">
        <v>46</v>
      </c>
      <c r="E159" s="71">
        <v>-30.419</v>
      </c>
      <c r="F159" s="71">
        <v>-10.393000000000001</v>
      </c>
      <c r="G159" s="71">
        <v>18.370999999999999</v>
      </c>
      <c r="H159" s="72">
        <f t="shared" si="51"/>
        <v>27.404451904089541</v>
      </c>
      <c r="I159" s="72">
        <f t="shared" si="51"/>
        <v>34.21798044143415</v>
      </c>
      <c r="J159" s="72">
        <f t="shared" si="51"/>
        <v>38.166103040862595</v>
      </c>
      <c r="K159" s="72">
        <f t="shared" si="51"/>
        <v>40.977109824124852</v>
      </c>
      <c r="L159" s="72">
        <f t="shared" si="51"/>
        <v>44.875505040138421</v>
      </c>
    </row>
    <row r="160" spans="3:12" outlineLevel="1" x14ac:dyDescent="0.45">
      <c r="C160" s="69" t="s">
        <v>67</v>
      </c>
      <c r="D160" s="70" t="s">
        <v>46</v>
      </c>
      <c r="E160" s="71">
        <v>50.820999999999998</v>
      </c>
      <c r="F160" s="71">
        <v>8.4179999999999993</v>
      </c>
      <c r="G160" s="71">
        <v>9.7360000000000007</v>
      </c>
      <c r="H160" s="72">
        <f t="shared" si="51"/>
        <v>29.652733055871352</v>
      </c>
      <c r="I160" s="72">
        <f t="shared" si="51"/>
        <v>27.466533324180205</v>
      </c>
      <c r="J160" s="72">
        <f t="shared" si="51"/>
        <v>28.538753755796733</v>
      </c>
      <c r="K160" s="72">
        <f t="shared" si="51"/>
        <v>27.844254940329336</v>
      </c>
      <c r="L160" s="72">
        <f t="shared" si="51"/>
        <v>27.840040987668658</v>
      </c>
    </row>
    <row r="161" spans="2:12" outlineLevel="1" x14ac:dyDescent="0.45">
      <c r="C161" s="69" t="s">
        <v>68</v>
      </c>
      <c r="D161" s="70" t="s">
        <v>46</v>
      </c>
      <c r="E161" s="71">
        <v>3.7290000000000001</v>
      </c>
      <c r="F161" s="71">
        <v>13.398</v>
      </c>
      <c r="G161" s="71">
        <v>5.9470000000000001</v>
      </c>
      <c r="H161" s="72">
        <f t="shared" ref="H161:L162" si="52">H122-G122</f>
        <v>15.938529505851577</v>
      </c>
      <c r="I161" s="72">
        <f t="shared" si="52"/>
        <v>14.945386595965175</v>
      </c>
      <c r="J161" s="72">
        <f t="shared" si="52"/>
        <v>16.669808020476637</v>
      </c>
      <c r="K161" s="72">
        <f t="shared" si="52"/>
        <v>17.897571393935863</v>
      </c>
      <c r="L161" s="72">
        <f t="shared" si="52"/>
        <v>19.600273390241654</v>
      </c>
    </row>
    <row r="162" spans="2:12" outlineLevel="1" x14ac:dyDescent="0.45">
      <c r="C162" s="69" t="s">
        <v>69</v>
      </c>
      <c r="D162" s="70" t="s">
        <v>46</v>
      </c>
      <c r="E162" s="71">
        <v>-16.86</v>
      </c>
      <c r="F162" s="71">
        <v>1.748</v>
      </c>
      <c r="G162" s="71">
        <v>9.4380000000000006</v>
      </c>
      <c r="H162" s="72">
        <f t="shared" si="52"/>
        <v>9.0764181236647499</v>
      </c>
      <c r="I162" s="72">
        <f t="shared" si="52"/>
        <v>1.8090613288672035</v>
      </c>
      <c r="J162" s="72">
        <f t="shared" si="52"/>
        <v>1.7813233244676496</v>
      </c>
      <c r="K162" s="72">
        <f t="shared" si="52"/>
        <v>1.9102198996762638</v>
      </c>
      <c r="L162" s="72">
        <f t="shared" si="52"/>
        <v>2.0518688724390373</v>
      </c>
    </row>
    <row r="163" spans="2:12" outlineLevel="1" x14ac:dyDescent="0.45">
      <c r="C163" s="69" t="s">
        <v>70</v>
      </c>
      <c r="D163" s="70" t="s">
        <v>46</v>
      </c>
      <c r="E163" s="71">
        <v>-4.54</v>
      </c>
      <c r="F163" s="71">
        <v>22.951000000000001</v>
      </c>
      <c r="G163" s="71">
        <v>13.39</v>
      </c>
      <c r="H163" s="72">
        <f>H128-G128</f>
        <v>17.568132680136415</v>
      </c>
      <c r="I163" s="72">
        <f>I128-H128</f>
        <v>20.419406077387237</v>
      </c>
      <c r="J163" s="72">
        <f>J128-I128</f>
        <v>26.267584266331596</v>
      </c>
      <c r="K163" s="72">
        <f>K128-J128</f>
        <v>29.320815426094555</v>
      </c>
      <c r="L163" s="72">
        <f>L128-K128</f>
        <v>29.275813586533786</v>
      </c>
    </row>
    <row r="164" spans="2:12" outlineLevel="1" x14ac:dyDescent="0.45">
      <c r="C164" s="69" t="s">
        <v>52</v>
      </c>
      <c r="D164" s="70" t="s">
        <v>46</v>
      </c>
      <c r="E164" s="71">
        <v>-19.905000000000001</v>
      </c>
      <c r="F164" s="71">
        <v>-24.472000000000001</v>
      </c>
      <c r="G164" s="71">
        <v>-17.36</v>
      </c>
      <c r="H164" s="72">
        <f>H121-G121+H127-G127</f>
        <v>11.256613198496524</v>
      </c>
      <c r="I164" s="72">
        <f>I121-H121+I127-H127</f>
        <v>11.814828990031515</v>
      </c>
      <c r="J164" s="72">
        <f>J121-I121+J127-I127</f>
        <v>9.4010104165766961</v>
      </c>
      <c r="K164" s="72">
        <f>K121-J121+K127-J127</f>
        <v>6.2630919841742809</v>
      </c>
      <c r="L164" s="72">
        <f>L121-K121+L127-K127</f>
        <v>17.499420143770948</v>
      </c>
    </row>
    <row r="165" spans="2:12" outlineLevel="1" x14ac:dyDescent="0.45">
      <c r="C165" s="23" t="s">
        <v>35</v>
      </c>
      <c r="D165" s="37" t="s">
        <v>46</v>
      </c>
      <c r="E165" s="33">
        <f>SUM(E143:E164)</f>
        <v>887.69900000000018</v>
      </c>
      <c r="F165" s="33">
        <f t="shared" ref="F165:L165" si="53">SUM(F143:F164)</f>
        <v>1717.7101000208061</v>
      </c>
      <c r="G165" s="33">
        <f t="shared" si="53"/>
        <v>1928.4857040726729</v>
      </c>
      <c r="H165" s="33">
        <f t="shared" si="53"/>
        <v>1862.4943476599547</v>
      </c>
      <c r="I165" s="33">
        <f t="shared" si="53"/>
        <v>2041.3047797213444</v>
      </c>
      <c r="J165" s="33">
        <f t="shared" si="53"/>
        <v>2292.7790544330505</v>
      </c>
      <c r="K165" s="33">
        <f t="shared" si="53"/>
        <v>2567.3650129043026</v>
      </c>
      <c r="L165" s="33">
        <f t="shared" si="53"/>
        <v>2828.1365619494586</v>
      </c>
    </row>
    <row r="166" spans="2:12" x14ac:dyDescent="0.45">
      <c r="C166" s="2"/>
      <c r="E166" s="53"/>
      <c r="F166" s="53"/>
      <c r="G166" s="53"/>
      <c r="H166" s="53"/>
      <c r="I166" s="53"/>
      <c r="J166" s="53"/>
      <c r="K166" s="53"/>
      <c r="L166" s="53"/>
    </row>
    <row r="167" spans="2:12" x14ac:dyDescent="0.45">
      <c r="B167" s="14" t="s">
        <v>36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2:12" outlineLevel="1" x14ac:dyDescent="0.45">
      <c r="C168" s="69" t="s">
        <v>84</v>
      </c>
      <c r="D168" s="70" t="s">
        <v>46</v>
      </c>
      <c r="E168" s="71">
        <v>2252.355</v>
      </c>
      <c r="F168" s="71">
        <v>2029.7370000000001</v>
      </c>
      <c r="G168" s="71">
        <v>1377.915</v>
      </c>
      <c r="H168" s="71">
        <v>0</v>
      </c>
      <c r="I168" s="75">
        <f>H168</f>
        <v>0</v>
      </c>
      <c r="J168" s="75">
        <f>I168</f>
        <v>0</v>
      </c>
      <c r="K168" s="75">
        <f>J168</f>
        <v>0</v>
      </c>
      <c r="L168" s="75">
        <f>K168</f>
        <v>0</v>
      </c>
    </row>
    <row r="169" spans="2:12" outlineLevel="1" x14ac:dyDescent="0.45">
      <c r="C169" s="69" t="s">
        <v>83</v>
      </c>
      <c r="D169" s="70" t="s">
        <v>46</v>
      </c>
      <c r="E169" s="71">
        <v>-1847.067</v>
      </c>
      <c r="F169" s="71">
        <v>-1620.7180000000001</v>
      </c>
      <c r="G169" s="71">
        <v>-342.12099999999998</v>
      </c>
      <c r="H169" s="75">
        <f>H61</f>
        <v>-200</v>
      </c>
      <c r="I169" s="75">
        <f t="shared" ref="I169:L169" si="54">I61</f>
        <v>-200</v>
      </c>
      <c r="J169" s="75">
        <f t="shared" si="54"/>
        <v>-200</v>
      </c>
      <c r="K169" s="75">
        <f t="shared" si="54"/>
        <v>-200</v>
      </c>
      <c r="L169" s="75">
        <f t="shared" si="54"/>
        <v>-200</v>
      </c>
    </row>
    <row r="170" spans="2:12" outlineLevel="1" x14ac:dyDescent="0.45">
      <c r="C170" s="69" t="s">
        <v>82</v>
      </c>
      <c r="D170" s="70" t="s">
        <v>46</v>
      </c>
      <c r="E170" s="71">
        <v>0</v>
      </c>
      <c r="F170" s="71">
        <v>-363.38499999999999</v>
      </c>
      <c r="G170" s="71">
        <v>0</v>
      </c>
      <c r="H170" s="71">
        <v>0</v>
      </c>
      <c r="I170" s="75">
        <f t="shared" ref="I170:L171" si="55">H170</f>
        <v>0</v>
      </c>
      <c r="J170" s="75">
        <f t="shared" si="55"/>
        <v>0</v>
      </c>
      <c r="K170" s="75">
        <f t="shared" si="55"/>
        <v>0</v>
      </c>
      <c r="L170" s="75">
        <f t="shared" si="55"/>
        <v>0</v>
      </c>
    </row>
    <row r="171" spans="2:12" outlineLevel="1" x14ac:dyDescent="0.45">
      <c r="C171" s="69" t="s">
        <v>81</v>
      </c>
      <c r="D171" s="70" t="s">
        <v>46</v>
      </c>
      <c r="E171" s="71">
        <v>-329.47199999999998</v>
      </c>
      <c r="F171" s="71">
        <v>0</v>
      </c>
      <c r="G171" s="71">
        <v>0</v>
      </c>
      <c r="H171" s="71">
        <v>0</v>
      </c>
      <c r="I171" s="75">
        <f t="shared" si="55"/>
        <v>0</v>
      </c>
      <c r="J171" s="75">
        <f t="shared" si="55"/>
        <v>0</v>
      </c>
      <c r="K171" s="75">
        <f t="shared" si="55"/>
        <v>0</v>
      </c>
      <c r="L171" s="75">
        <f t="shared" si="55"/>
        <v>0</v>
      </c>
    </row>
    <row r="172" spans="2:12" outlineLevel="1" x14ac:dyDescent="0.45">
      <c r="C172" s="69" t="s">
        <v>130</v>
      </c>
      <c r="D172" s="70" t="s">
        <v>46</v>
      </c>
      <c r="E172" s="71">
        <v>-188.726</v>
      </c>
      <c r="F172" s="71">
        <v>-221.428</v>
      </c>
      <c r="G172" s="71">
        <v>-264.07400000000001</v>
      </c>
      <c r="H172" s="75">
        <f>-H58*H$73</f>
        <v>-300.49387761435423</v>
      </c>
      <c r="I172" s="75">
        <f>-I58*I$73</f>
        <v>-348.97560557671051</v>
      </c>
      <c r="J172" s="75">
        <f>-J58*J$73</f>
        <v>-402.63936327323046</v>
      </c>
      <c r="K172" s="75">
        <f>-K58*K$73</f>
        <v>-461.2881702752382</v>
      </c>
      <c r="L172" s="75">
        <f>-L58*L$73</f>
        <v>-528.23672776606463</v>
      </c>
    </row>
    <row r="173" spans="2:12" outlineLevel="1" x14ac:dyDescent="0.45">
      <c r="C173" s="69" t="s">
        <v>80</v>
      </c>
      <c r="D173" s="70" t="s">
        <v>46</v>
      </c>
      <c r="E173" s="71">
        <v>1.3129999999999999</v>
      </c>
      <c r="F173" s="71">
        <v>2.52</v>
      </c>
      <c r="G173" s="71">
        <v>2.7320000000000002</v>
      </c>
      <c r="H173" s="71">
        <v>0</v>
      </c>
      <c r="I173" s="75">
        <f>H173</f>
        <v>0</v>
      </c>
      <c r="J173" s="75">
        <f>I173</f>
        <v>0</v>
      </c>
      <c r="K173" s="75">
        <f>J173</f>
        <v>0</v>
      </c>
      <c r="L173" s="75">
        <f>K173</f>
        <v>0</v>
      </c>
    </row>
    <row r="174" spans="2:12" outlineLevel="1" x14ac:dyDescent="0.45">
      <c r="C174" s="69" t="s">
        <v>79</v>
      </c>
      <c r="D174" s="70" t="s">
        <v>46</v>
      </c>
      <c r="E174" s="71">
        <v>-23.427</v>
      </c>
      <c r="F174" s="71">
        <v>-13.295999999999999</v>
      </c>
      <c r="G174" s="71">
        <v>-42.36</v>
      </c>
      <c r="H174" s="75">
        <f>-H59*H$73</f>
        <v>-31.239494810172861</v>
      </c>
      <c r="I174" s="75">
        <f>-I59*I$73</f>
        <v>-35.299147776165846</v>
      </c>
      <c r="J174" s="75">
        <f>-J59*J$73</f>
        <v>-39.655507194687701</v>
      </c>
      <c r="K174" s="75">
        <f>-K59*K$73</f>
        <v>-44.266846552890364</v>
      </c>
      <c r="L174" s="75">
        <f>-L59*L$73</f>
        <v>-49.424180558819337</v>
      </c>
    </row>
    <row r="175" spans="2:12" outlineLevel="1" x14ac:dyDescent="0.45">
      <c r="C175" s="69" t="s">
        <v>78</v>
      </c>
      <c r="D175" s="77" t="s">
        <v>46</v>
      </c>
      <c r="E175" s="71">
        <v>-26.343</v>
      </c>
      <c r="F175" s="71">
        <v>-6.8250000000000002</v>
      </c>
      <c r="G175" s="71">
        <v>1.635</v>
      </c>
      <c r="H175" s="75">
        <f>H62</f>
        <v>-25</v>
      </c>
      <c r="I175" s="75">
        <f t="shared" ref="I175:L175" si="56">I62</f>
        <v>-25</v>
      </c>
      <c r="J175" s="75">
        <f t="shared" si="56"/>
        <v>-25</v>
      </c>
      <c r="K175" s="75">
        <f t="shared" si="56"/>
        <v>-25</v>
      </c>
      <c r="L175" s="75">
        <f t="shared" si="56"/>
        <v>-25</v>
      </c>
    </row>
    <row r="176" spans="2:12" outlineLevel="1" x14ac:dyDescent="0.45">
      <c r="C176" s="23" t="s">
        <v>37</v>
      </c>
      <c r="D176" s="15" t="s">
        <v>46</v>
      </c>
      <c r="E176" s="33">
        <f>SUM(E168:E175)</f>
        <v>-161.36699999999996</v>
      </c>
      <c r="F176" s="33">
        <f t="shared" ref="F176:L176" si="57">SUM(F168:F175)</f>
        <v>-193.39499999999995</v>
      </c>
      <c r="G176" s="33">
        <f t="shared" si="57"/>
        <v>733.72699999999975</v>
      </c>
      <c r="H176" s="33">
        <f t="shared" si="57"/>
        <v>-556.73337242452715</v>
      </c>
      <c r="I176" s="33">
        <f t="shared" si="57"/>
        <v>-609.27475335287625</v>
      </c>
      <c r="J176" s="33">
        <f t="shared" si="57"/>
        <v>-667.29487046791814</v>
      </c>
      <c r="K176" s="33">
        <f t="shared" si="57"/>
        <v>-730.55501682812849</v>
      </c>
      <c r="L176" s="33">
        <f t="shared" si="57"/>
        <v>-802.66090832488396</v>
      </c>
    </row>
    <row r="177" spans="2:12" x14ac:dyDescent="0.45">
      <c r="C177" s="2"/>
      <c r="E177" s="53"/>
      <c r="F177" s="53"/>
      <c r="G177" s="53"/>
      <c r="H177" s="53"/>
      <c r="I177" s="53"/>
      <c r="J177" s="53"/>
      <c r="K177" s="53"/>
      <c r="L177" s="53"/>
    </row>
    <row r="178" spans="2:12" x14ac:dyDescent="0.45">
      <c r="B178" s="14" t="s">
        <v>38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2:12" outlineLevel="1" x14ac:dyDescent="0.45">
      <c r="C179" s="69" t="s">
        <v>85</v>
      </c>
      <c r="D179" s="70" t="s">
        <v>46</v>
      </c>
      <c r="E179" s="71">
        <v>7.4999999999999997E-2</v>
      </c>
      <c r="F179" s="71">
        <v>-13.914</v>
      </c>
      <c r="G179" s="71">
        <v>-8.2230000000000008</v>
      </c>
      <c r="H179" s="71">
        <v>0</v>
      </c>
      <c r="I179" s="71">
        <v>0</v>
      </c>
      <c r="J179" s="71">
        <v>0</v>
      </c>
      <c r="K179" s="71">
        <v>0</v>
      </c>
      <c r="L179" s="71">
        <v>0</v>
      </c>
    </row>
    <row r="180" spans="2:12" outlineLevel="1" x14ac:dyDescent="0.45">
      <c r="C180" s="69" t="s">
        <v>86</v>
      </c>
      <c r="D180" s="70" t="s">
        <v>46</v>
      </c>
      <c r="E180" s="71">
        <v>0</v>
      </c>
      <c r="F180" s="71">
        <v>0</v>
      </c>
      <c r="G180" s="71">
        <v>750</v>
      </c>
      <c r="H180" s="71">
        <v>0</v>
      </c>
      <c r="I180" s="71">
        <v>0</v>
      </c>
      <c r="J180" s="71">
        <v>0</v>
      </c>
      <c r="K180" s="71">
        <v>0</v>
      </c>
      <c r="L180" s="71">
        <v>0</v>
      </c>
    </row>
    <row r="181" spans="2:12" outlineLevel="1" x14ac:dyDescent="0.45">
      <c r="C181" s="69" t="s">
        <v>87</v>
      </c>
      <c r="D181" s="70" t="s">
        <v>46</v>
      </c>
      <c r="E181" s="71">
        <v>0</v>
      </c>
      <c r="F181" s="71">
        <v>0</v>
      </c>
      <c r="G181" s="71">
        <v>-375</v>
      </c>
      <c r="H181" s="75">
        <f>H64</f>
        <v>-100</v>
      </c>
      <c r="I181" s="75">
        <f t="shared" ref="I181:L181" si="58">I64</f>
        <v>0</v>
      </c>
      <c r="J181" s="75">
        <f t="shared" si="58"/>
        <v>0</v>
      </c>
      <c r="K181" s="75">
        <f t="shared" si="58"/>
        <v>-100</v>
      </c>
      <c r="L181" s="75">
        <f t="shared" si="58"/>
        <v>0</v>
      </c>
    </row>
    <row r="182" spans="2:12" outlineLevel="1" x14ac:dyDescent="0.45">
      <c r="C182" s="69" t="s">
        <v>88</v>
      </c>
      <c r="D182" s="70" t="s">
        <v>46</v>
      </c>
      <c r="E182" s="71">
        <v>0</v>
      </c>
      <c r="F182" s="71">
        <v>0</v>
      </c>
      <c r="G182" s="71">
        <v>-2.9039999999999999</v>
      </c>
      <c r="H182" s="71">
        <v>0</v>
      </c>
      <c r="I182" s="71">
        <v>0</v>
      </c>
      <c r="J182" s="71">
        <v>0</v>
      </c>
      <c r="K182" s="71">
        <v>0</v>
      </c>
      <c r="L182" s="71">
        <v>0</v>
      </c>
    </row>
    <row r="183" spans="2:12" outlineLevel="1" x14ac:dyDescent="0.45">
      <c r="C183" s="69" t="s">
        <v>89</v>
      </c>
      <c r="D183" s="70" t="s">
        <v>46</v>
      </c>
      <c r="E183" s="71">
        <v>64.015000000000001</v>
      </c>
      <c r="F183" s="71">
        <v>130.267</v>
      </c>
      <c r="G183" s="71">
        <v>78.972999999999999</v>
      </c>
      <c r="H183" s="75">
        <f>H65</f>
        <v>75</v>
      </c>
      <c r="I183" s="75">
        <f t="shared" ref="I183:L183" si="59">I65</f>
        <v>100</v>
      </c>
      <c r="J183" s="75">
        <f t="shared" si="59"/>
        <v>125</v>
      </c>
      <c r="K183" s="75">
        <f t="shared" si="59"/>
        <v>150</v>
      </c>
      <c r="L183" s="75">
        <f t="shared" si="59"/>
        <v>150</v>
      </c>
    </row>
    <row r="184" spans="2:12" outlineLevel="1" x14ac:dyDescent="0.45">
      <c r="C184" s="69" t="s">
        <v>131</v>
      </c>
      <c r="D184" s="70" t="s">
        <v>46</v>
      </c>
      <c r="E184" s="71">
        <v>-771.02800000000002</v>
      </c>
      <c r="F184" s="71">
        <v>-658.952</v>
      </c>
      <c r="G184" s="71">
        <v>-3771.875</v>
      </c>
      <c r="H184" s="75">
        <f t="shared" ref="H184:L184" si="60">H66</f>
        <v>-1000</v>
      </c>
      <c r="I184" s="75">
        <f t="shared" si="60"/>
        <v>-1250</v>
      </c>
      <c r="J184" s="75">
        <f t="shared" si="60"/>
        <v>-1500</v>
      </c>
      <c r="K184" s="75">
        <f t="shared" si="60"/>
        <v>-1750</v>
      </c>
      <c r="L184" s="75">
        <f t="shared" si="60"/>
        <v>-2000</v>
      </c>
    </row>
    <row r="185" spans="2:12" outlineLevel="1" x14ac:dyDescent="0.45">
      <c r="C185" s="23" t="s">
        <v>39</v>
      </c>
      <c r="D185" s="37" t="s">
        <v>46</v>
      </c>
      <c r="E185" s="33">
        <f t="shared" ref="E185:L185" si="61">SUM(E179:E184)</f>
        <v>-706.93799999999999</v>
      </c>
      <c r="F185" s="33">
        <f t="shared" si="61"/>
        <v>-542.59900000000005</v>
      </c>
      <c r="G185" s="33">
        <f t="shared" si="61"/>
        <v>-3329.029</v>
      </c>
      <c r="H185" s="33">
        <f t="shared" si="61"/>
        <v>-1025</v>
      </c>
      <c r="I185" s="33">
        <f t="shared" si="61"/>
        <v>-1150</v>
      </c>
      <c r="J185" s="33">
        <f t="shared" si="61"/>
        <v>-1375</v>
      </c>
      <c r="K185" s="33">
        <f t="shared" si="61"/>
        <v>-1700</v>
      </c>
      <c r="L185" s="33">
        <f t="shared" si="61"/>
        <v>-1850</v>
      </c>
    </row>
    <row r="186" spans="2:12" outlineLevel="1" x14ac:dyDescent="0.45">
      <c r="C186" s="2"/>
      <c r="E186" s="53"/>
      <c r="F186" s="53"/>
      <c r="G186" s="53"/>
      <c r="H186" s="53"/>
      <c r="I186" s="53"/>
      <c r="J186" s="53"/>
      <c r="K186" s="53"/>
      <c r="L186" s="53"/>
    </row>
    <row r="187" spans="2:12" outlineLevel="1" x14ac:dyDescent="0.45">
      <c r="C187" s="83" t="s">
        <v>49</v>
      </c>
      <c r="D187" s="70" t="s">
        <v>46</v>
      </c>
      <c r="E187" s="71">
        <v>-38.715000000000003</v>
      </c>
      <c r="F187" s="71">
        <v>8.7750000000000004</v>
      </c>
      <c r="G187" s="71">
        <v>-97.619</v>
      </c>
      <c r="H187" s="84">
        <f>H73*H68</f>
        <v>-49.898743459218032</v>
      </c>
      <c r="I187" s="84">
        <f t="shared" ref="I187:L187" si="62">I73*I68</f>
        <v>-56.383213938477247</v>
      </c>
      <c r="J187" s="84">
        <f t="shared" si="62"/>
        <v>-63.34161266937425</v>
      </c>
      <c r="K187" s="84">
        <f t="shared" si="62"/>
        <v>-70.707290028645104</v>
      </c>
      <c r="L187" s="84">
        <f t="shared" si="62"/>
        <v>-78.945082862975738</v>
      </c>
    </row>
    <row r="188" spans="2:12" outlineLevel="1" x14ac:dyDescent="0.45">
      <c r="C188" s="45"/>
      <c r="E188" s="53"/>
      <c r="F188" s="53"/>
      <c r="G188" s="53"/>
      <c r="H188" s="53"/>
      <c r="I188" s="53"/>
      <c r="J188" s="53"/>
      <c r="K188" s="53"/>
      <c r="L188" s="53"/>
    </row>
    <row r="189" spans="2:12" outlineLevel="1" x14ac:dyDescent="0.45">
      <c r="C189" s="46" t="s">
        <v>40</v>
      </c>
      <c r="D189" s="15" t="s">
        <v>46</v>
      </c>
      <c r="E189" s="17">
        <v>1326.552195906522</v>
      </c>
      <c r="F189" s="36">
        <f t="shared" ref="F189:L189" si="63">E191</f>
        <v>1307.2311959065223</v>
      </c>
      <c r="G189" s="36">
        <f t="shared" si="63"/>
        <v>2297.7222959273286</v>
      </c>
      <c r="H189" s="36">
        <f t="shared" si="63"/>
        <v>1533.2870000000012</v>
      </c>
      <c r="I189" s="36">
        <f t="shared" si="63"/>
        <v>1764.1492317762106</v>
      </c>
      <c r="J189" s="36">
        <f t="shared" si="63"/>
        <v>1989.7960442062015</v>
      </c>
      <c r="K189" s="36">
        <f t="shared" si="63"/>
        <v>2176.9386155019597</v>
      </c>
      <c r="L189" s="36">
        <f t="shared" si="63"/>
        <v>2243.0413215494887</v>
      </c>
    </row>
    <row r="190" spans="2:12" outlineLevel="1" x14ac:dyDescent="0.45">
      <c r="C190" s="44" t="s">
        <v>60</v>
      </c>
      <c r="D190" s="15" t="s">
        <v>46</v>
      </c>
      <c r="E190" s="36">
        <f t="shared" ref="E190:L190" si="64">E165+E176+E185+E187</f>
        <v>-19.320999999999771</v>
      </c>
      <c r="F190" s="36">
        <f t="shared" si="64"/>
        <v>990.49110002080602</v>
      </c>
      <c r="G190" s="36">
        <f t="shared" si="64"/>
        <v>-764.43529592732727</v>
      </c>
      <c r="H190" s="36">
        <f t="shared" si="64"/>
        <v>230.86223177620937</v>
      </c>
      <c r="I190" s="36">
        <f t="shared" si="64"/>
        <v>225.6468124299908</v>
      </c>
      <c r="J190" s="36">
        <f t="shared" si="64"/>
        <v>187.14257129575813</v>
      </c>
      <c r="K190" s="36">
        <f t="shared" si="64"/>
        <v>66.102706047529125</v>
      </c>
      <c r="L190" s="36">
        <f t="shared" si="64"/>
        <v>96.530570761598796</v>
      </c>
    </row>
    <row r="191" spans="2:12" outlineLevel="1" x14ac:dyDescent="0.45">
      <c r="C191" s="23" t="s">
        <v>41</v>
      </c>
      <c r="D191" s="37" t="s">
        <v>46</v>
      </c>
      <c r="E191" s="34">
        <f t="shared" ref="E191:L191" si="65">SUM(E189:E190)</f>
        <v>1307.2311959065223</v>
      </c>
      <c r="F191" s="34">
        <f t="shared" si="65"/>
        <v>2297.7222959273286</v>
      </c>
      <c r="G191" s="34">
        <f t="shared" si="65"/>
        <v>1533.2870000000012</v>
      </c>
      <c r="H191" s="34">
        <f t="shared" si="65"/>
        <v>1764.1492317762106</v>
      </c>
      <c r="I191" s="34">
        <f t="shared" si="65"/>
        <v>1989.7960442062015</v>
      </c>
      <c r="J191" s="34">
        <f t="shared" si="65"/>
        <v>2176.9386155019597</v>
      </c>
      <c r="K191" s="34">
        <f t="shared" si="65"/>
        <v>2243.0413215494887</v>
      </c>
      <c r="L191" s="34">
        <f t="shared" si="65"/>
        <v>2339.5718923110876</v>
      </c>
    </row>
  </sheetData>
  <pageMargins left="0.7" right="0.7" top="0.75" bottom="0.75" header="0.3" footer="0.3"/>
  <pageSetup scale="46" orientation="portrait" horizontalDpi="200" verticalDpi="200" r:id="rId1"/>
  <rowBreaks count="2" manualBreakCount="2">
    <brk id="92" max="12" man="1"/>
    <brk id="139" max="12" man="1"/>
  </rowBreaks>
  <ignoredErrors>
    <ignoredError sqref="H151:L151 I174:L174 I172:L172 I169:L169 H107:L10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MNST</vt:lpstr>
      <vt:lpstr>Company_Name</vt:lpstr>
      <vt:lpstr>Hist_Yr</vt:lpstr>
      <vt:lpstr>MNST!Print_Area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dcterms:created xsi:type="dcterms:W3CDTF">2016-08-02T00:46:07Z</dcterms:created>
  <dcterms:modified xsi:type="dcterms:W3CDTF">2025-08-27T13:55:59Z</dcterms:modified>
</cp:coreProperties>
</file>