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showInkAnnotation="0"/>
  <mc:AlternateContent xmlns:mc="http://schemas.openxmlformats.org/markup-compatibility/2006">
    <mc:Choice Requires="x15">
      <x15ac:absPath xmlns:x15ac="http://schemas.microsoft.com/office/spreadsheetml/2010/11/ac" url="E:\Dropbox (BIWS)\BIWS-All-Courses\100-Bonus-Case-Studies\105-Accounting\105-25-US-GAAP-vs-IFRS\"/>
    </mc:Choice>
  </mc:AlternateContent>
  <xr:revisionPtr revIDLastSave="0" documentId="13_ncr:1_{64BCF364-1E7D-4C2D-A33C-0D61001FE2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FRS_CFS" sheetId="1" r:id="rId1"/>
    <sheet name="Leases" sheetId="3" r:id="rId2"/>
    <sheet name="VIV" sheetId="2" r:id="rId3"/>
  </sheets>
  <definedNames>
    <definedName name="Basic_Shares">VIV!$F$11</definedName>
    <definedName name="Company_Name">VIV!$F$7</definedName>
    <definedName name="Diluted_Shares">VIV!$F$12</definedName>
    <definedName name="_xlnm.Print_Area" localSheetId="0">IFRS_CFS!$A$1:$N$122</definedName>
    <definedName name="_xlnm.Print_Area" localSheetId="1">Leases!$A$1:$O$123</definedName>
    <definedName name="_xlnm.Print_Area" localSheetId="2">VIV!$A$1:$O$67</definedName>
    <definedName name="Share_Price" localSheetId="1">Leases!$E$7</definedName>
    <definedName name="Share_Price">VIV!$F$10</definedName>
    <definedName name="Shares">Leases!$E$8</definedName>
    <definedName name="Tax_Rate" localSheetId="2">VIV!$F$13</definedName>
    <definedName name="Tax_Rate">Leases!$E$10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6" i="1" l="1"/>
  <c r="F114" i="1"/>
  <c r="F111" i="1"/>
  <c r="F113" i="1"/>
  <c r="F112" i="1"/>
  <c r="F110" i="1"/>
  <c r="F109" i="1"/>
  <c r="F106" i="1"/>
  <c r="F105" i="1"/>
  <c r="F104" i="1"/>
  <c r="F103" i="1"/>
  <c r="F100" i="1"/>
  <c r="F118" i="1" s="1"/>
  <c r="F121" i="1" s="1"/>
  <c r="F99" i="1"/>
  <c r="F98" i="1"/>
  <c r="F97" i="1"/>
  <c r="F96" i="1"/>
  <c r="F95" i="1"/>
  <c r="F94" i="1"/>
  <c r="F91" i="1"/>
  <c r="F90" i="1"/>
  <c r="F89" i="1"/>
  <c r="F88" i="1"/>
  <c r="F87" i="1"/>
  <c r="F86" i="1"/>
  <c r="F85" i="1"/>
  <c r="G119" i="3" l="1"/>
  <c r="F119" i="3"/>
  <c r="E119" i="3"/>
  <c r="G112" i="3"/>
  <c r="F112" i="3"/>
  <c r="E112" i="3"/>
  <c r="G104" i="3"/>
  <c r="F104" i="3"/>
  <c r="E104" i="3"/>
  <c r="G103" i="3"/>
  <c r="F103" i="3"/>
  <c r="E103" i="3"/>
  <c r="G99" i="3"/>
  <c r="F99" i="3"/>
  <c r="E99" i="3"/>
  <c r="D99" i="3"/>
  <c r="G98" i="3"/>
  <c r="E98" i="3"/>
  <c r="G88" i="3"/>
  <c r="G90" i="3" s="1"/>
  <c r="G94" i="3" s="1"/>
  <c r="F88" i="3"/>
  <c r="E88" i="3"/>
  <c r="G81" i="3"/>
  <c r="F81" i="3"/>
  <c r="F90" i="3" s="1"/>
  <c r="F94" i="3" s="1"/>
  <c r="E81" i="3"/>
  <c r="E90" i="3" s="1"/>
  <c r="E94" i="3" s="1"/>
  <c r="E96" i="3" s="1"/>
  <c r="E75" i="3"/>
  <c r="G73" i="3"/>
  <c r="F73" i="3"/>
  <c r="E73" i="3"/>
  <c r="G65" i="3"/>
  <c r="G75" i="3" s="1"/>
  <c r="G96" i="3" s="1"/>
  <c r="F65" i="3"/>
  <c r="F75" i="3" s="1"/>
  <c r="E65" i="3"/>
  <c r="G59" i="3"/>
  <c r="F59" i="3"/>
  <c r="E59" i="3"/>
  <c r="D59" i="3"/>
  <c r="G58" i="3"/>
  <c r="E58" i="3"/>
  <c r="G46" i="3"/>
  <c r="F46" i="3"/>
  <c r="E46" i="3"/>
  <c r="G40" i="3"/>
  <c r="G41" i="3" s="1"/>
  <c r="F40" i="3"/>
  <c r="F41" i="3" s="1"/>
  <c r="G38" i="3"/>
  <c r="F38" i="3"/>
  <c r="E38" i="3"/>
  <c r="E40" i="3" s="1"/>
  <c r="J25" i="3"/>
  <c r="J24" i="3"/>
  <c r="J23" i="3"/>
  <c r="J21" i="3"/>
  <c r="J20" i="3"/>
  <c r="F20" i="3"/>
  <c r="J19" i="3"/>
  <c r="F19" i="3"/>
  <c r="E19" i="3"/>
  <c r="F18" i="3"/>
  <c r="E18" i="3"/>
  <c r="F17" i="3"/>
  <c r="F16" i="3"/>
  <c r="E16" i="3"/>
  <c r="F15" i="3"/>
  <c r="F21" i="3" s="1"/>
  <c r="E15" i="3"/>
  <c r="E21" i="3" s="1"/>
  <c r="N9" i="3"/>
  <c r="N6" i="3"/>
  <c r="M6" i="3"/>
  <c r="L6" i="3"/>
  <c r="K6" i="3"/>
  <c r="N5" i="3"/>
  <c r="L5" i="3"/>
  <c r="M54" i="2"/>
  <c r="M53" i="2"/>
  <c r="M51" i="2"/>
  <c r="I51" i="2"/>
  <c r="M50" i="2"/>
  <c r="I50" i="2"/>
  <c r="I49" i="2"/>
  <c r="M48" i="2"/>
  <c r="M46" i="2"/>
  <c r="M45" i="2"/>
  <c r="M52" i="2" s="1"/>
  <c r="I45" i="2"/>
  <c r="I52" i="2" s="1"/>
  <c r="M44" i="2"/>
  <c r="M43" i="2"/>
  <c r="M42" i="2"/>
  <c r="M49" i="2" s="1"/>
  <c r="M55" i="2" s="1"/>
  <c r="M41" i="2"/>
  <c r="F41" i="2"/>
  <c r="F44" i="2" s="1"/>
  <c r="F40" i="2"/>
  <c r="M39" i="2"/>
  <c r="F39" i="2"/>
  <c r="M37" i="2"/>
  <c r="M35" i="2"/>
  <c r="M31" i="2"/>
  <c r="K31" i="2"/>
  <c r="F25" i="2"/>
  <c r="F53" i="2" s="1"/>
  <c r="K23" i="2"/>
  <c r="F23" i="2"/>
  <c r="M22" i="2"/>
  <c r="F19" i="2"/>
  <c r="K16" i="2"/>
  <c r="M15" i="2"/>
  <c r="F15" i="2"/>
  <c r="M14" i="2"/>
  <c r="M13" i="2"/>
  <c r="M12" i="2"/>
  <c r="M11" i="2"/>
  <c r="B5" i="2"/>
  <c r="B2" i="2"/>
  <c r="F96" i="3" l="1"/>
  <c r="L9" i="3"/>
  <c r="E52" i="3"/>
  <c r="E41" i="3"/>
  <c r="E48" i="3"/>
  <c r="L13" i="3"/>
  <c r="N15" i="3"/>
  <c r="N13" i="3"/>
  <c r="M15" i="3"/>
  <c r="M13" i="3"/>
  <c r="L15" i="3"/>
  <c r="M14" i="3"/>
  <c r="N24" i="3"/>
  <c r="L23" i="3"/>
  <c r="L24" i="3"/>
  <c r="N23" i="3"/>
  <c r="M23" i="3"/>
  <c r="F48" i="3"/>
  <c r="G48" i="3"/>
  <c r="F52" i="3"/>
  <c r="G52" i="3"/>
  <c r="M16" i="2"/>
  <c r="M23" i="2"/>
  <c r="F12" i="2" s="1"/>
  <c r="F17" i="2" s="1"/>
  <c r="F49" i="3" l="1"/>
  <c r="F50" i="3" s="1"/>
  <c r="F101" i="3" s="1"/>
  <c r="F107" i="3" s="1"/>
  <c r="F121" i="3" s="1"/>
  <c r="F123" i="3" s="1"/>
  <c r="E49" i="3"/>
  <c r="E50" i="3" s="1"/>
  <c r="E101" i="3" s="1"/>
  <c r="E107" i="3" s="1"/>
  <c r="E121" i="3" s="1"/>
  <c r="E123" i="3" s="1"/>
  <c r="E55" i="3"/>
  <c r="E53" i="3"/>
  <c r="L10" i="3"/>
  <c r="L14" i="3" s="1"/>
  <c r="G53" i="3"/>
  <c r="N10" i="3"/>
  <c r="N14" i="3" s="1"/>
  <c r="G55" i="3"/>
  <c r="M20" i="3"/>
  <c r="M24" i="3" s="1"/>
  <c r="F53" i="3"/>
  <c r="F55" i="3"/>
  <c r="G49" i="3"/>
  <c r="G50" i="3" s="1"/>
  <c r="G101" i="3" s="1"/>
  <c r="G107" i="3" s="1"/>
  <c r="G121" i="3" s="1"/>
  <c r="G123" i="3" s="1"/>
  <c r="F50" i="2"/>
  <c r="F29" i="2"/>
  <c r="F54" i="2" s="1"/>
  <c r="N27" i="2"/>
  <c r="L21" i="3" l="1"/>
  <c r="L25" i="3" s="1"/>
  <c r="E56" i="3"/>
  <c r="N21" i="3"/>
  <c r="N25" i="3" s="1"/>
  <c r="G56" i="3"/>
  <c r="M21" i="3"/>
  <c r="M25" i="3" s="1"/>
  <c r="F56" i="3"/>
  <c r="F60" i="2"/>
  <c r="F52" i="2"/>
  <c r="F65" i="2" s="1"/>
  <c r="F59" i="2"/>
  <c r="F56" i="2"/>
  <c r="F66" i="2"/>
  <c r="F64" i="2"/>
  <c r="F62" i="2"/>
  <c r="C113" i="1" l="1"/>
  <c r="C112" i="1"/>
  <c r="C110" i="1"/>
  <c r="C109" i="1"/>
  <c r="C105" i="1"/>
  <c r="C104" i="1"/>
  <c r="C103" i="1"/>
  <c r="C99" i="1"/>
  <c r="C98" i="1"/>
  <c r="C97" i="1"/>
  <c r="C95" i="1"/>
  <c r="C94" i="1"/>
  <c r="C90" i="1"/>
  <c r="C89" i="1"/>
  <c r="C88" i="1"/>
  <c r="C87" i="1"/>
  <c r="C86" i="1"/>
  <c r="C85" i="1"/>
  <c r="M73" i="1" l="1"/>
  <c r="F55" i="1"/>
  <c r="F47" i="1"/>
  <c r="F40" i="1"/>
  <c r="F59" i="1" l="1"/>
  <c r="F6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BIWS</author>
  </authors>
  <commentList>
    <comment ref="M9" authorId="0" shapeId="0" xr:uid="{1770ED03-54D1-4717-B0F2-8C24CC527D97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Doesn't make sense because EBIT partially reflects the Operating Lease expense!</t>
        </r>
      </text>
    </comment>
    <comment ref="M10" authorId="0" shapeId="0" xr:uid="{444A543E-E74D-4391-BF25-F06B9180D378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Doesn't make sense because EBITDA completely excludes the operating lease expense here.</t>
        </r>
      </text>
    </comment>
    <comment ref="L11" authorId="0" shapeId="0" xr:uid="{64E0A8AD-36D3-42CC-A1C6-204F0B2BE827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None of these make sense because TEV must include Operating Leases since EBITDAR completely excludes all Op Lease expenses.</t>
        </r>
      </text>
    </comment>
    <comment ref="M11" authorId="0" shapeId="0" xr:uid="{41BCDB79-BEAB-4E2A-825E-D647082FF89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None of these make sense because TEV must include Operating Leases since EBITDAR completely excludes all Op Lease expenses.</t>
        </r>
      </text>
    </comment>
    <comment ref="N11" authorId="0" shapeId="0" xr:uid="{8CBFC4FF-CFA8-4E7B-9134-BA4A91DBDE2F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None of these make sense because TEV must include Operating Leases since EBITDAR completely excludes all Op Lease expenses.</t>
        </r>
      </text>
    </comment>
    <comment ref="L19" authorId="0" shapeId="0" xr:uid="{05130D04-D08A-4FF8-A9CE-F2E0F83D4EBE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Doesn't make sense because EBIT is *after* Rent and D&amp;A on ROU Assets, so we can't count Op. Leases as Debt.</t>
        </r>
      </text>
    </comment>
    <comment ref="M19" authorId="0" shapeId="0" xr:uid="{62D895F5-B495-418B-AB76-787AE63FEC55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Doesn't make sense because EBIT is *after* Rent and D&amp;A on ROU Assets, so we can't count Op. Leases as Debt.</t>
        </r>
      </text>
    </comment>
    <comment ref="N19" authorId="0" shapeId="0" xr:uid="{8BCD8146-AE43-41B0-A052-B8C596FCAB07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Doesn't make sense because EBIT is *after* Rent and D&amp;A on ROU Assets, so we can't count Op. Leases as Debt.</t>
        </r>
      </text>
    </comment>
    <comment ref="L20" authorId="0" shapeId="0" xr:uid="{2B140B37-A6FD-4E8D-A2C8-BED61FC28D3F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Can't do this because EBITDA includes the rental expense in OpEx.</t>
        </r>
      </text>
    </comment>
    <comment ref="N20" authorId="0" shapeId="0" xr:uid="{D7F7DE40-0F4F-492B-8501-87B6432BFF45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Can't do this because EBITDA includes the rental expense in OpEx.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20" authorId="0" shapeId="0" xr:uid="{565BDEB9-CAD1-4F31-B420-E950E716881B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Technically, we could use the company's estimate for the Market Value of the shares, but we're sticking to the Balance Sheet figure here since we only have that number for a portion of the Equity Investments.</t>
        </r>
      </text>
    </comment>
    <comment ref="F23" authorId="0" shapeId="0" xr:uid="{2E9AF1DF-B143-49CC-90B1-F2B2CD8E9D97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Starting with the book values but adjusting for unamortized discounts and Fair Market Value for relevant portions.</t>
        </r>
      </text>
    </comment>
    <comment ref="F25" authorId="0" shapeId="0" xr:uid="{A6139697-565C-4721-8AC2-D3FC2822118F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We count Operating Leases as Debt-like items under IFRS because of the Income Statement treatment: the lease expense is split into Interest and Depreciation components, so EBITDA is no longer a valid metric unless we add Operating Leases to Enterprise Value.</t>
        </r>
      </text>
    </comment>
    <comment ref="F27" authorId="0" shapeId="0" xr:uid="{5E5350A2-10F7-4EC0-A47F-6487E29CDDBE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Not tax-adjusting because contributions into European plans are usually not tax-deductible.</t>
        </r>
      </text>
    </comment>
    <comment ref="M35" authorId="0" shapeId="0" xr:uid="{DEB4A9A0-8C12-4F22-8F33-FC37633499E4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CFO from CFS and then subtract Interest Paid from CFF and Interest Element of Operating Lease expense (pg. 9). Also SUBTRACTING the Depreciation element of the Lease Expense - shouldn't be a real non-cash add-back here since all FCF-based metrics should include the full Lease Expense!</t>
        </r>
      </text>
    </comment>
    <comment ref="F37" authorId="0" shapeId="0" xr:uid="{9C17D2D8-AA65-449B-B492-382F79FB3EA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We do NOT want to use the "Income from Operations" figure because it adds back Amortization, Restructuring, etc. EBIT is the appropriate one here.</t>
        </r>
      </text>
    </comment>
    <comment ref="F38" authorId="0" shapeId="0" xr:uid="{2BEAED9C-B0F5-4DB9-B7C6-20E5F2EA914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Not counting Restructuring because they have it in nearly every historical year; same for Impairments.</t>
        </r>
      </text>
    </comment>
    <comment ref="F40" authorId="0" shapeId="0" xr:uid="{B693EC25-5CB7-4FA2-8640-421A9331EEE4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Should ONLY count D&amp;A on owned assets and intangibles and amortization on operating-leased assets (full breakout on pg. 10).</t>
        </r>
      </text>
    </comment>
    <comment ref="M40" authorId="0" shapeId="0" xr:uid="{63471F83-2CFE-4E27-A101-542D98671386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Need to subtract this so that UFCF deducts the *entire* Lease/Rental Expense.</t>
        </r>
      </text>
    </comment>
    <comment ref="F42" authorId="0" shapeId="0" xr:uid="{01DAEA78-B7A0-4B7A-B8C8-E70289279C8C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should be 0 under IFRS because the Rent/Lease Expense is split into Interest and Depreciation.</t>
        </r>
      </text>
    </comment>
    <comment ref="M42" authorId="0" shapeId="0" xr:uid="{36D99045-3822-48D4-806E-C34FE0F1F835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Only including D&amp;A on Tangible and Intangible Assets; Operating Lease D&amp;A cannot be added back because we *want* UFCF to deduct the full Lease Expense, and the Lease D&amp;A has already been deducted in EBIT.</t>
        </r>
      </text>
    </comment>
    <comment ref="F43" authorId="0" shapeId="0" xr:uid="{C5E671B7-39EA-4175-9D83-BFA36F5AAA94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Has nothing here.</t>
        </r>
      </text>
    </comment>
    <comment ref="M43" authorId="0" shapeId="0" xr:uid="{F452C9C1-039B-469F-AC8E-3D9732E9FC47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Taking the Book Income Tax figure and subtracting the Cash Taxes Paid. Not quite correct because the Pre-Tax Income will be lower without Interest, but "good enough" for now.</t>
        </r>
      </text>
    </comment>
    <comment ref="M44" authorId="0" shapeId="0" xr:uid="{DE4030C8-7BBA-46F7-86EF-75E215446B1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Content Investments + Change in WC + Change in Provisions.</t>
        </r>
      </text>
    </comment>
    <comment ref="F46" authorId="0" shapeId="0" xr:uid="{76DD0B4F-F86A-4926-85C9-A85523C4C214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Strange numbers because of how the company records a Tax Benefit on the IS.</t>
        </r>
      </text>
    </comment>
  </commentList>
</comments>
</file>

<file path=xl/sharedStrings.xml><?xml version="1.0" encoding="utf-8"?>
<sst xmlns="http://schemas.openxmlformats.org/spreadsheetml/2006/main" count="421" uniqueCount="284">
  <si>
    <t>Net Income:</t>
  </si>
  <si>
    <t>Change in Accounts Receivable:</t>
  </si>
  <si>
    <t>Net Change in Cash:</t>
  </si>
  <si>
    <t>Change in Accounts Payable:</t>
  </si>
  <si>
    <t>Change in Deferred Revenue:</t>
  </si>
  <si>
    <t>Cash Flow Statement:</t>
  </si>
  <si>
    <t>Cash Flow from Operations:</t>
  </si>
  <si>
    <t>Cash Flow from Investing Activities:</t>
  </si>
  <si>
    <t>Cash Flow from Operating Activities:</t>
  </si>
  <si>
    <t>Cash Flow from Financing Activities:</t>
  </si>
  <si>
    <t>Cash Flow from Investing:</t>
  </si>
  <si>
    <t>Cash Flow from Financing:</t>
  </si>
  <si>
    <t>Depreciation:</t>
  </si>
  <si>
    <t>Deferred Income Taxes:</t>
  </si>
  <si>
    <t>Share Repurchases:</t>
  </si>
  <si>
    <t>Stock-Based Compensation:</t>
  </si>
  <si>
    <t>Beginning Cash Balance:</t>
  </si>
  <si>
    <t>Ending Cash Balance:</t>
  </si>
  <si>
    <t>FX Rate Effects:</t>
  </si>
  <si>
    <t>Cash Generated from Operations:</t>
  </si>
  <si>
    <t>Ordinary Dividends Paid:</t>
  </si>
  <si>
    <t>Taxes Paid:</t>
  </si>
  <si>
    <t>Purchase of PP&amp;E:</t>
  </si>
  <si>
    <t>Purchases of Intangible Assets:</t>
  </si>
  <si>
    <t>(£ in Millions)</t>
  </si>
  <si>
    <t>What Are the Problems With This Cash Flow Statement?</t>
  </si>
  <si>
    <t>anything on the Income Statement.</t>
  </si>
  <si>
    <t>Operating Profit:</t>
  </si>
  <si>
    <t>Adjustments for Non-Cash Items:</t>
  </si>
  <si>
    <t>Changes in Working Capital and Other Operational Items:</t>
  </si>
  <si>
    <t>Change in Provisions:</t>
  </si>
  <si>
    <t>Change in Other Non-Current Assets:</t>
  </si>
  <si>
    <t>&lt;--- More standard "Profit for the Year" line item on the IS.</t>
  </si>
  <si>
    <t>IFRS vs. U.S. GAAP: Short Version of the Differences</t>
  </si>
  <si>
    <r>
      <t>Income Statement and Balance Sheet</t>
    </r>
    <r>
      <rPr>
        <sz val="12"/>
        <color theme="1"/>
        <rFont val="Calibri"/>
        <family val="2"/>
        <scheme val="minor"/>
      </rPr>
      <t xml:space="preserve"> - Largely the same, but some items have slightly different names (e.g., </t>
    </r>
  </si>
  <si>
    <t>"Turnover" rather than "Revenue" or "Net Sales").</t>
  </si>
  <si>
    <r>
      <t>Cash Flow Statement</t>
    </r>
    <r>
      <rPr>
        <sz val="12"/>
        <color theme="1"/>
        <rFont val="Calibri"/>
        <family val="2"/>
        <scheme val="minor"/>
      </rPr>
      <t xml:space="preserve"> - Often significantly different because companies that follow IFRS often start the CFS with </t>
    </r>
  </si>
  <si>
    <t>Operating Income or Pre-Tax Income rather than Net Income (to Common), which means the adjustments will be</t>
  </si>
  <si>
    <t>different as well.</t>
  </si>
  <si>
    <r>
      <t xml:space="preserve">Many non-U.S. companies also use the </t>
    </r>
    <r>
      <rPr>
        <b/>
        <sz val="12"/>
        <color theme="1"/>
        <rFont val="Calibri"/>
        <family val="2"/>
        <scheme val="minor"/>
      </rPr>
      <t>Direct Method</t>
    </r>
    <r>
      <rPr>
        <sz val="12"/>
        <color theme="1"/>
        <rFont val="Calibri"/>
        <family val="2"/>
        <scheme val="minor"/>
      </rPr>
      <t xml:space="preserve"> to prepare the Cash Flow Statement rather than the </t>
    </r>
  </si>
  <si>
    <r>
      <t>Indirect Method</t>
    </r>
    <r>
      <rPr>
        <sz val="12"/>
        <color theme="1"/>
        <rFont val="Calibri"/>
        <family val="2"/>
        <scheme val="minor"/>
      </rPr>
      <t xml:space="preserve"> that we've been using. This means they show Cash Receipts and Outflows directly rather than</t>
    </r>
  </si>
  <si>
    <t>Net Income and then adjustments to Net Income.</t>
  </si>
  <si>
    <r>
      <t xml:space="preserve">IFRS-based companies also tend to </t>
    </r>
    <r>
      <rPr>
        <b/>
        <sz val="12"/>
        <color theme="1"/>
        <rFont val="Calibri"/>
        <family val="2"/>
        <scheme val="minor"/>
      </rPr>
      <t>place line items in more "random" locations</t>
    </r>
    <r>
      <rPr>
        <sz val="12"/>
        <color theme="1"/>
        <rFont val="Calibri"/>
        <family val="2"/>
        <scheme val="minor"/>
      </rPr>
      <t xml:space="preserve"> - you'll see Dividends, Interest,</t>
    </r>
  </si>
  <si>
    <t>Taxes, etc., in different sections of the CFS.</t>
  </si>
  <si>
    <r>
      <t>Finally:</t>
    </r>
    <r>
      <rPr>
        <sz val="12"/>
        <color theme="1"/>
        <rFont val="Calibri"/>
        <family val="2"/>
        <scheme val="minor"/>
      </rPr>
      <t xml:space="preserve"> Under IFRS, as you learned before, the Operating Lease Expense is split into Interest and Depreciation </t>
    </r>
  </si>
  <si>
    <t>elements, while it's just a simple Rental Expense under U.S. GAAP. More on this one in Module 6 of this course.</t>
  </si>
  <si>
    <t>Cash Flow Statement Differences and What to Do About Them</t>
  </si>
  <si>
    <r>
      <t xml:space="preserve">When a company uses the Direct Method, or it starts its CFS with something </t>
    </r>
    <r>
      <rPr>
        <i/>
        <sz val="12"/>
        <color theme="1"/>
        <rFont val="Calibri"/>
        <family val="2"/>
        <scheme val="minor"/>
      </rPr>
      <t>other</t>
    </r>
    <r>
      <rPr>
        <sz val="12"/>
        <color theme="1"/>
        <rFont val="Calibri"/>
        <family val="2"/>
        <scheme val="minor"/>
      </rPr>
      <t xml:space="preserve"> than Net Income, the best practice</t>
    </r>
  </si>
  <si>
    <r>
      <t xml:space="preserve">is to </t>
    </r>
    <r>
      <rPr>
        <b/>
        <sz val="12"/>
        <color theme="1"/>
        <rFont val="Calibri"/>
        <family val="2"/>
        <scheme val="minor"/>
      </rPr>
      <t>convert</t>
    </r>
    <r>
      <rPr>
        <sz val="12"/>
        <color theme="1"/>
        <rFont val="Calibri"/>
        <family val="2"/>
        <scheme val="minor"/>
      </rPr>
      <t xml:space="preserve"> the CFS into a more standard one.</t>
    </r>
  </si>
  <si>
    <t xml:space="preserve">We'll go through a quick example of how to do this for EasyJet, a U.K.-based airline used later in this course in </t>
  </si>
  <si>
    <t>Module 5, here.</t>
  </si>
  <si>
    <t>Interest Expense:</t>
  </si>
  <si>
    <t>Interest Income:</t>
  </si>
  <si>
    <t>Sale &amp; Leaseback of Aircraft:</t>
  </si>
  <si>
    <t>Decrease in Money-Market Deposits:</t>
  </si>
  <si>
    <t>Debt Issuances:</t>
  </si>
  <si>
    <t>Repayment of Finance Lease Capital:</t>
  </si>
  <si>
    <t>Repayment of Operating Lease Capital:</t>
  </si>
  <si>
    <t>Net Change in Restricted Cash:</t>
  </si>
  <si>
    <r>
      <t xml:space="preserve">First off, it's </t>
    </r>
    <r>
      <rPr>
        <b/>
        <sz val="12"/>
        <color theme="1"/>
        <rFont val="Calibri"/>
        <family val="2"/>
        <scheme val="minor"/>
      </rPr>
      <t>very</t>
    </r>
    <r>
      <rPr>
        <sz val="12"/>
        <color theme="1"/>
        <rFont val="Calibri"/>
        <family val="2"/>
        <scheme val="minor"/>
      </rPr>
      <t xml:space="preserve"> difficult to link this to the Balance Sheet as is - </t>
    </r>
  </si>
  <si>
    <t>where are the changes in AR, AP, AE, DR, etc.?</t>
  </si>
  <si>
    <t xml:space="preserve">Second, what is "Cash Generated from Operations"? Doesn't match </t>
  </si>
  <si>
    <r>
      <t xml:space="preserve">Third, why are Dividends listed in Cash Flow from </t>
    </r>
    <r>
      <rPr>
        <u/>
        <sz val="12"/>
        <color theme="1"/>
        <rFont val="Calibri"/>
        <family val="2"/>
        <scheme val="minor"/>
      </rPr>
      <t>Operations</t>
    </r>
    <r>
      <rPr>
        <sz val="12"/>
        <color theme="1"/>
        <rFont val="Calibri"/>
        <family val="2"/>
        <scheme val="minor"/>
      </rPr>
      <t>?</t>
    </r>
  </si>
  <si>
    <t>Fourth, it's not ideal to show the changes in Money-Market Deposits</t>
  </si>
  <si>
    <t xml:space="preserve">and Restricted Cash on the CFS because these should really be </t>
  </si>
  <si>
    <t>grouped together with "Cash" on the Balance Sheet.</t>
  </si>
  <si>
    <t xml:space="preserve">Finally, why do Net Interest and Taxes show up within CFO? Should be </t>
  </si>
  <si>
    <t>on the Income Statement, and then adjusted on the CFS.</t>
  </si>
  <si>
    <r>
      <t>Our Recommendation:</t>
    </r>
    <r>
      <rPr>
        <sz val="12"/>
        <color theme="1"/>
        <rFont val="Calibri"/>
        <family val="2"/>
        <scheme val="minor"/>
      </rPr>
      <t xml:space="preserve"> When this happens, find the </t>
    </r>
    <r>
      <rPr>
        <b/>
        <sz val="12"/>
        <color theme="1"/>
        <rFont val="Calibri"/>
        <family val="2"/>
        <scheme val="minor"/>
      </rPr>
      <t>reconciliation</t>
    </r>
    <r>
      <rPr>
        <sz val="12"/>
        <color theme="1"/>
        <rFont val="Calibri"/>
        <family val="2"/>
        <scheme val="minor"/>
      </rPr>
      <t xml:space="preserve"> </t>
    </r>
  </si>
  <si>
    <t xml:space="preserve">from Operating Profit to "Cash Generated from Operations" in the </t>
  </si>
  <si>
    <t>company's statements and make this section look much more standard:</t>
  </si>
  <si>
    <t>Loss on Disposal of Intangibles:</t>
  </si>
  <si>
    <t>Commercial IT (Credit) / Charge:</t>
  </si>
  <si>
    <t>(Gain) / Loss on Sale and Leaseback:</t>
  </si>
  <si>
    <t>Change in Unearned Revenue:</t>
  </si>
  <si>
    <t>Change in Non-Current Deferred Income:</t>
  </si>
  <si>
    <t>Operating Profit to Cash Generated from Operations:</t>
  </si>
  <si>
    <t>"Cash Flow Statement Version 2.0":</t>
  </si>
  <si>
    <r>
      <t>Other Issues:</t>
    </r>
    <r>
      <rPr>
        <sz val="12"/>
        <color theme="1"/>
        <rFont val="Calibri"/>
        <family val="2"/>
        <scheme val="minor"/>
      </rPr>
      <t xml:space="preserve"> Interest Expense and Interest Income and Taxes are all different on the IS and CFS, so we need to address those - </t>
    </r>
  </si>
  <si>
    <t>probably an issue with cash inflow/outflow vs. recorded amounts again.</t>
  </si>
  <si>
    <t>&lt;-- In the real model, we split this into PP&amp;E Depreciation and</t>
  </si>
  <si>
    <t>the Depreciation Element of the Operating Lease Expense.</t>
  </si>
  <si>
    <t>&lt;-- We also tend to consolidate these smaller items.</t>
  </si>
  <si>
    <t>Amortisation of Intangible Assets:</t>
  </si>
  <si>
    <t>Other Adjustments:</t>
  </si>
  <si>
    <t>Change in Derivative Instruments:</t>
  </si>
  <si>
    <t>&lt;-- Equal to Cash Taxes minus Book Taxes.</t>
  </si>
  <si>
    <t>Dividends Issued:</t>
  </si>
  <si>
    <t>&lt;-- "The plug" to account for items we left out, such as the Interest</t>
  </si>
  <si>
    <t>differences, Money-Market Deposit/Restricted Cash changes, etc.</t>
  </si>
  <si>
    <t>&lt;-- Combined 2 Deferred Revenue line items into 1.</t>
  </si>
  <si>
    <t>&lt;-- Linking these in from the real CFS, but leaving out the</t>
  </si>
  <si>
    <t>Change in Money-Market Deposits - because we combine that</t>
  </si>
  <si>
    <t>line item with Cash on the BS.</t>
  </si>
  <si>
    <t>&lt;--- This section is largely the same, but we have moved Dividends</t>
  </si>
  <si>
    <t>down from CFO to CFF here because it makes no sense to include</t>
  </si>
  <si>
    <t>Dividends in CFO.</t>
  </si>
  <si>
    <t>U.S. GAAP vs. IFRS on the Financial Statements</t>
  </si>
  <si>
    <t>(€ in Millions Except Per Share Data)</t>
  </si>
  <si>
    <t>Diluted Shares Calculations:</t>
  </si>
  <si>
    <t>Company Name:</t>
  </si>
  <si>
    <t>Vivendi SA</t>
  </si>
  <si>
    <t>Options - Treasury Stock Method:</t>
  </si>
  <si>
    <t>Ticker:</t>
  </si>
  <si>
    <t>ENXTPA:VIV</t>
  </si>
  <si>
    <t>Valuation Date:</t>
  </si>
  <si>
    <t>Number</t>
  </si>
  <si>
    <t>Exercise</t>
  </si>
  <si>
    <t>Current Share Price:</t>
  </si>
  <si>
    <t>Name:</t>
  </si>
  <si>
    <t>(Millions):</t>
  </si>
  <si>
    <t>Price:</t>
  </si>
  <si>
    <t>Dilution:</t>
  </si>
  <si>
    <t>Basic Shares Outstanding (Millions):</t>
  </si>
  <si>
    <t>Under €15</t>
  </si>
  <si>
    <t>Diluted Shares Outstanding (Millions):</t>
  </si>
  <si>
    <t>€15 to €16</t>
  </si>
  <si>
    <t>Effective Tax Rate:</t>
  </si>
  <si>
    <t>€16 to €17</t>
  </si>
  <si>
    <t>€17 to €18</t>
  </si>
  <si>
    <t>Basic Equity Value:</t>
  </si>
  <si>
    <t>More than €18</t>
  </si>
  <si>
    <t>Total:</t>
  </si>
  <si>
    <t>Diluted Equity Value:</t>
  </si>
  <si>
    <t>(-) Cash &amp; Cash-Equivalents:</t>
  </si>
  <si>
    <t>Performance Shares:</t>
  </si>
  <si>
    <t>(-) Financial Investments:</t>
  </si>
  <si>
    <t>(-) Equity Investments:</t>
  </si>
  <si>
    <t>(-) Other Non-Core Assets:</t>
  </si>
  <si>
    <t>(-) Net Operating Losses:</t>
  </si>
  <si>
    <t>(+) Total Debt:</t>
  </si>
  <si>
    <t>(+) Preferred Stock:</t>
  </si>
  <si>
    <t>(+) Operating Leases:</t>
  </si>
  <si>
    <t>(+) Noncontrolling Interests:</t>
  </si>
  <si>
    <t>Restricted Stock Units (RSUs) and Other Sources:</t>
  </si>
  <si>
    <t>(+) Unfunded Pensions:</t>
  </si>
  <si>
    <t>(+) Capital Leases:</t>
  </si>
  <si>
    <t>Enterprise Value (TEV):</t>
  </si>
  <si>
    <t>Restricted Stock Units (RSUs):</t>
  </si>
  <si>
    <t>Valuation Metric Calculations:</t>
  </si>
  <si>
    <t>Cash Flow Metric Calculations:</t>
  </si>
  <si>
    <t>Revenue:</t>
  </si>
  <si>
    <t>(-) Capital Expenditures:</t>
  </si>
  <si>
    <t>Operating Income from Income Statement:</t>
  </si>
  <si>
    <t>Free Cash Flow (FCF):</t>
  </si>
  <si>
    <t>(+) Non-Recurring Charges:</t>
  </si>
  <si>
    <t>Earnings Before Interest &amp; Taxes (EBIT):</t>
  </si>
  <si>
    <t>(+) D&amp;A from Cash Flow Statement:</t>
  </si>
  <si>
    <t>(-) Operating Lease Interest Element:</t>
  </si>
  <si>
    <t>EBITDA:</t>
  </si>
  <si>
    <t>Net Operating Profit After Taxes (NOPAT):</t>
  </si>
  <si>
    <t>(+) Rental Expense on Income Statement:</t>
  </si>
  <si>
    <t>(+) D&amp;A Excluding Lease D&amp;A:</t>
  </si>
  <si>
    <t>(-) Sublease Income:</t>
  </si>
  <si>
    <t>(+/-) Deferred Income Taxes:</t>
  </si>
  <si>
    <t>EBITDAR:</t>
  </si>
  <si>
    <t>(+/-) Change in Working Capital:</t>
  </si>
  <si>
    <t>Reported Net Income:</t>
  </si>
  <si>
    <t>Unlevered Free Cash Flow (UFCF):</t>
  </si>
  <si>
    <t>Valuation Multiple Calculations:</t>
  </si>
  <si>
    <t>Net Income (to Common):</t>
  </si>
  <si>
    <t>Equity Value:</t>
  </si>
  <si>
    <t>Enterprise Value Excluding Op. Leases:</t>
  </si>
  <si>
    <t>(+) Operating Lease Liabilities:</t>
  </si>
  <si>
    <t>(-) Repayments of Debt Principal:</t>
  </si>
  <si>
    <t>Enterprise Value Including Op. Leases:</t>
  </si>
  <si>
    <t>(+) New Debt Issuances:</t>
  </si>
  <si>
    <t>Levered Free Cash Flow (LFCF):</t>
  </si>
  <si>
    <t>TEV Incl. Op. Leases / Revenue Multiple:</t>
  </si>
  <si>
    <t>TEV Incl. Op. Leases / EBIT Multiple:</t>
  </si>
  <si>
    <t>N/A</t>
  </si>
  <si>
    <t>TEV Incl. Op. Leases / EBITDA Multiple:</t>
  </si>
  <si>
    <t>TEV Incl. Op. Leases / EBITDAR Multiple:</t>
  </si>
  <si>
    <t>Eq Val / Net Income Multiple (P / E):</t>
  </si>
  <si>
    <t>Eq Val / FCF Multiple:</t>
  </si>
  <si>
    <t>TEV Excl. Op. Leases / UFCF Multiple:</t>
  </si>
  <si>
    <t>Eq Val / LFCF Multiple:</t>
  </si>
  <si>
    <t>Operating Leases and IFRS 16 / ASC 842 - Airline's Hypothetical Financial Statements</t>
  </si>
  <si>
    <t>($ in Millions Except Per Share and Per Unit Data)</t>
  </si>
  <si>
    <t>Assumptions:</t>
  </si>
  <si>
    <t>Units:</t>
  </si>
  <si>
    <t>Valuation Metrics and Multiples:</t>
  </si>
  <si>
    <t>$ as Stated</t>
  </si>
  <si>
    <t>Operating Leases NOT Treated as Debt:</t>
  </si>
  <si>
    <t>Share Count:</t>
  </si>
  <si>
    <t>#</t>
  </si>
  <si>
    <t>EBIT:</t>
  </si>
  <si>
    <t>$ M</t>
  </si>
  <si>
    <t>Tax Rate:</t>
  </si>
  <si>
    <t>%</t>
  </si>
  <si>
    <t>Op. Leases NOT</t>
  </si>
  <si>
    <t>Op. Leases</t>
  </si>
  <si>
    <t>Treated as Debt:</t>
  </si>
  <si>
    <t>TEV / EBIT:</t>
  </si>
  <si>
    <t>x</t>
  </si>
  <si>
    <t>TEV / EBITDA:</t>
  </si>
  <si>
    <t>TEV / EBITDAR:</t>
  </si>
  <si>
    <t>(-) Other Non-Core Assets, Net:</t>
  </si>
  <si>
    <t>Operating Leases Treated as Debt:</t>
  </si>
  <si>
    <t>(+) Operating Leases (???):</t>
  </si>
  <si>
    <t>"Old" (Pre-2019)</t>
  </si>
  <si>
    <t>U.S. GAAP</t>
  </si>
  <si>
    <t>Income Statement:</t>
  </si>
  <si>
    <t>System</t>
  </si>
  <si>
    <t>IFRS 16</t>
  </si>
  <si>
    <t>ASC 842</t>
  </si>
  <si>
    <t>Note on Projections in 3-Statement Models:</t>
  </si>
  <si>
    <t>Operating Expenses:</t>
  </si>
  <si>
    <t>Fuel Expense:</t>
  </si>
  <si>
    <t>Non-Fuel Expense:</t>
  </si>
  <si>
    <t>Operating Lease Rent:</t>
  </si>
  <si>
    <t>Can continue to make this a simple % of revenue, or grow it at a % growth rate.</t>
  </si>
  <si>
    <t>Depreciation &amp; Amortization - PP&amp;E:</t>
  </si>
  <si>
    <t>Depreciation &amp; Amortization - Right-of-Use Assets:</t>
  </si>
  <si>
    <t>Same - this is just the actual lease expense split into different components.</t>
  </si>
  <si>
    <t>Total Operating Expenses:</t>
  </si>
  <si>
    <t>Operating Income (EBIT):</t>
  </si>
  <si>
    <t>Operating (EBIT) Margin:</t>
  </si>
  <si>
    <t>Other Income / (Expense):</t>
  </si>
  <si>
    <t>(-) Net Finance Costs:</t>
  </si>
  <si>
    <t>(-) Interest Component of Operating Leases:</t>
  </si>
  <si>
    <r>
      <t xml:space="preserve">Same - this is just the actual lease expense split into different components. For the </t>
    </r>
    <r>
      <rPr>
        <u/>
        <sz val="12"/>
        <color theme="1"/>
        <rFont val="Calibri"/>
        <family val="2"/>
        <scheme val="minor"/>
      </rPr>
      <t>same lease</t>
    </r>
    <r>
      <rPr>
        <sz val="12"/>
        <color theme="1"/>
        <rFont val="Calibri"/>
        <family val="2"/>
        <scheme val="minor"/>
      </rPr>
      <t>, this might change over time, but</t>
    </r>
  </si>
  <si>
    <t>Total Other Income / (Expense):</t>
  </si>
  <si>
    <t>most companies have dozens/hundreds of leases and add more each year.</t>
  </si>
  <si>
    <t>Pre-Tax Income:</t>
  </si>
  <si>
    <t>(-) Provision For Income Taxes:</t>
  </si>
  <si>
    <t>EBITDA Margin:</t>
  </si>
  <si>
    <t>EBITDAR Margin:</t>
  </si>
  <si>
    <t>Balance Sheet:</t>
  </si>
  <si>
    <t>ASSETS:</t>
  </si>
  <si>
    <t>Current Assets:</t>
  </si>
  <si>
    <t>Cash &amp; Equivalents:</t>
  </si>
  <si>
    <t>Accounts Receivable:</t>
  </si>
  <si>
    <t>Net Derivatives:</t>
  </si>
  <si>
    <t>Total Current Assets:</t>
  </si>
  <si>
    <t>Non-Current Assets:</t>
  </si>
  <si>
    <t>Net PP&amp;E - Owned Assets:</t>
  </si>
  <si>
    <t>Assets Corresponding to Capital Leases:</t>
  </si>
  <si>
    <t>Right-of-Use Assets from Operating Leases:</t>
  </si>
  <si>
    <t>This can be a simple % of the Rental Expense on the IS or the Depreciation + Interest for Op. Leases under IFRS.</t>
  </si>
  <si>
    <t>Goodwill &amp; Other Intangible Assets:</t>
  </si>
  <si>
    <t>Other Long-Term Assets:</t>
  </si>
  <si>
    <t>Total Non-Current Assets:</t>
  </si>
  <si>
    <t>Total Assets:</t>
  </si>
  <si>
    <t>LIABILITIES AND EQUITY:</t>
  </si>
  <si>
    <t>Current Liabilities:</t>
  </si>
  <si>
    <t>Accounts Payable:</t>
  </si>
  <si>
    <t>Accrued Liabilities:</t>
  </si>
  <si>
    <t>Total Current Liabilities:</t>
  </si>
  <si>
    <t>Non-Current Liabilities:</t>
  </si>
  <si>
    <t>Debt:</t>
  </si>
  <si>
    <t>Capital Leases:</t>
  </si>
  <si>
    <t>Operating Lease Liabilities:</t>
  </si>
  <si>
    <t>Other Long-Term Liabilities:</t>
  </si>
  <si>
    <t>Or, just make these Op. Lease Liabilities a % of the Op. Lease Assets, or vice versa.</t>
  </si>
  <si>
    <t>Total Non-Current Liabilities:</t>
  </si>
  <si>
    <t>Total Liabilities:</t>
  </si>
  <si>
    <t>Equity:</t>
  </si>
  <si>
    <r>
      <t xml:space="preserve">Here, the Equity under U.S. GAAP happens to be higher… but that is </t>
    </r>
    <r>
      <rPr>
        <b/>
        <sz val="12"/>
        <color theme="1"/>
        <rFont val="Calibri"/>
        <family val="2"/>
        <scheme val="minor"/>
      </rPr>
      <t>not</t>
    </r>
    <r>
      <rPr>
        <sz val="12"/>
        <color theme="1"/>
        <rFont val="Calibri"/>
        <family val="2"/>
        <scheme val="minor"/>
      </rPr>
      <t xml:space="preserve"> a universal rule. You'll see slight differences.</t>
    </r>
  </si>
  <si>
    <t>Total Liabilities &amp; Equity:</t>
  </si>
  <si>
    <t>Balance Check:</t>
  </si>
  <si>
    <t>CASH FLOWS FROM OPERATING ACTIVITIES:</t>
  </si>
  <si>
    <t/>
  </si>
  <si>
    <t>Adjustments for Non-Cash Charges:</t>
  </si>
  <si>
    <t>(+) Depreciation &amp; Amortization - PP&amp;E:</t>
  </si>
  <si>
    <t>(+) Depreciation &amp; Amortization - Right-of-Use Assets:</t>
  </si>
  <si>
    <t>This flows in directly from the Income Statement and is reversed or "added back" here.</t>
  </si>
  <si>
    <t>(+/-) Deferred Taxes:</t>
  </si>
  <si>
    <t>Net Cash Provided by Operating Activities:</t>
  </si>
  <si>
    <t>CASH FLOWS FROM INVESTING ACTIVITIES:</t>
  </si>
  <si>
    <t>(+/-) Sale &amp; Leaseback Proceeds:</t>
  </si>
  <si>
    <t>Net Cash Used in Investing Activities:</t>
  </si>
  <si>
    <t>CASH FLOWS FROM FINANCING ACTIVITIES:</t>
  </si>
  <si>
    <t>(-) Dividends Paid:</t>
  </si>
  <si>
    <t>(-) Repayment of Capital Element of Operating Leases:</t>
  </si>
  <si>
    <t>Can make this a simple % of revenue, grow it at a % growth rate, or make it a % of the total annual lease expense.</t>
  </si>
  <si>
    <t>(+) Debt Issuances / (-) Repayments:</t>
  </si>
  <si>
    <t>(+) Net Proceeds from Stock Issuances</t>
  </si>
  <si>
    <t>Net Cash Provided by Financing Activities:</t>
  </si>
  <si>
    <t>Change in Cash &amp; Cash Equivalents:</t>
  </si>
  <si>
    <t xml:space="preserve">There may be some small difference in cash flows and Ending Cash under each method, but we </t>
  </si>
  <si>
    <t>Beginning Cash:</t>
  </si>
  <si>
    <r>
      <t xml:space="preserve">emphasize "small" - the difference should </t>
    </r>
    <r>
      <rPr>
        <b/>
        <sz val="12"/>
        <color theme="1"/>
        <rFont val="Calibri"/>
        <family val="2"/>
        <scheme val="minor"/>
      </rPr>
      <t>NOT</t>
    </r>
    <r>
      <rPr>
        <sz val="12"/>
        <color theme="1"/>
        <rFont val="Calibri"/>
        <family val="2"/>
        <scheme val="minor"/>
      </rPr>
      <t xml:space="preserve"> be significant or the company is doing something wrong.</t>
    </r>
  </si>
  <si>
    <t>Ending Cash: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</si>
</sst>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[$£-809]* #,##0_-;\-[$£-809]* #,##0_-;_-[$£-809]* &quot;-&quot;_-;_-@_-"/>
    <numFmt numFmtId="165" formatCode="yyyy\-mm\-dd"/>
    <numFmt numFmtId="166" formatCode="_([$€-2]\ * #,##0.00_);_([$€-2]\ * \(#,##0.00\);_([$€-2]\ * &quot;-&quot;??_);_(@_)"/>
    <numFmt numFmtId="167" formatCode="_(* #,##0.0_);_(* \(#,##0.0\);_(* &quot;-&quot;_);_(@_)"/>
    <numFmt numFmtId="168" formatCode="_(* #,##0.000_);_(* \(#,##0.000\);_(* &quot;-&quot;???_);_(@_)"/>
    <numFmt numFmtId="169" formatCode="0.0%"/>
    <numFmt numFmtId="170" formatCode="_([$€-2]\ * #,##0_);_([$€-2]\ * \(#,##0\);_([$€-2]\ * &quot;-&quot;_);_(@_)"/>
    <numFmt numFmtId="171" formatCode="_-* #,##0.00\ [$€-40C]_-;\-* #,##0.00\ [$€-40C]_-;_-* &quot;-&quot;??\ [$€-40C]_-;_-@_-"/>
    <numFmt numFmtId="172" formatCode="_(0.0\ \x_);\(0.0\ \x\);_(&quot;–&quot;_);_(@_)"/>
    <numFmt numFmtId="173" formatCode="&quot;FY&quot;yy"/>
    <numFmt numFmtId="174" formatCode="_(&quot;$&quot;* #,##0.0_);_(&quot;$&quot;* \(#,##0.0\);_(&quot;$&quot;* &quot;-&quot;?_);_(@_)"/>
    <numFmt numFmtId="175" formatCode="0.0\ \x;\(0.0\ \x\)"/>
    <numFmt numFmtId="176" formatCode="0.0%;\(0.0%\)"/>
    <numFmt numFmtId="177" formatCode="_(* #,##0.0_);_(* \(#,##0.0\);_(* &quot;-&quot;?_);_(@_)"/>
    <numFmt numFmtId="178" formatCode="_([$$-409]* #,##0.0_);_([$$-409]* \(#,##0.0\);_([$$-409]* &quot;-&quot;??_);_(@_)"/>
    <numFmt numFmtId="179" formatCode="&quot;$&quot;#,##0.000\);\(&quot;$&quot;#,##0.000\);&quot;OK!&quot;;&quot;ERROR&quot;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2"/>
      <color rgb="FF0016E4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rgb="FF0016E4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9"/>
      <name val="Calibri"/>
      <family val="2"/>
      <scheme val="minor"/>
    </font>
    <font>
      <b/>
      <u/>
      <sz val="12"/>
      <color indexed="9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sz val="12"/>
      <color rgb="FF0000FF"/>
      <name val="Calibri"/>
      <family val="2"/>
    </font>
    <font>
      <sz val="10"/>
      <name val="Arial"/>
      <family val="2"/>
    </font>
    <font>
      <i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/>
      <right style="thin">
        <color rgb="FFB2B2B2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3" fillId="4" borderId="3" applyNumberFormat="0" applyFont="0" applyAlignment="0" applyProtection="0"/>
    <xf numFmtId="0" fontId="22" fillId="0" borderId="0"/>
  </cellStyleXfs>
  <cellXfs count="135">
    <xf numFmtId="0" fontId="0" fillId="0" borderId="0" xfId="0"/>
    <xf numFmtId="0" fontId="3" fillId="0" borderId="0" xfId="0" applyFont="1"/>
    <xf numFmtId="0" fontId="2" fillId="0" borderId="0" xfId="0" applyFont="1"/>
    <xf numFmtId="0" fontId="3" fillId="2" borderId="1" xfId="0" applyFont="1" applyFill="1" applyBorder="1"/>
    <xf numFmtId="0" fontId="2" fillId="2" borderId="1" xfId="0" applyFont="1" applyFill="1" applyBorder="1"/>
    <xf numFmtId="0" fontId="2" fillId="0" borderId="0" xfId="0" applyFont="1" applyBorder="1"/>
    <xf numFmtId="164" fontId="6" fillId="0" borderId="0" xfId="0" applyNumberFormat="1" applyFont="1"/>
    <xf numFmtId="41" fontId="6" fillId="0" borderId="0" xfId="0" applyNumberFormat="1" applyFont="1"/>
    <xf numFmtId="0" fontId="2" fillId="0" borderId="2" xfId="0" applyFont="1" applyBorder="1"/>
    <xf numFmtId="164" fontId="7" fillId="0" borderId="2" xfId="0" applyNumberFormat="1" applyFont="1" applyBorder="1"/>
    <xf numFmtId="164" fontId="7" fillId="0" borderId="0" xfId="0" applyNumberFormat="1" applyFont="1" applyBorder="1"/>
    <xf numFmtId="164" fontId="9" fillId="0" borderId="0" xfId="0" applyNumberFormat="1" applyFont="1" applyBorder="1"/>
    <xf numFmtId="41" fontId="6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0" fontId="10" fillId="0" borderId="0" xfId="0" applyFont="1"/>
    <xf numFmtId="0" fontId="2" fillId="0" borderId="0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2" xfId="0" applyFont="1" applyBorder="1" applyAlignment="1">
      <alignment horizontal="left"/>
    </xf>
    <xf numFmtId="0" fontId="2" fillId="0" borderId="0" xfId="0" applyFont="1" applyFill="1" applyBorder="1" applyAlignment="1">
      <alignment horizontal="left" indent="1"/>
    </xf>
    <xf numFmtId="41" fontId="9" fillId="0" borderId="0" xfId="0" applyNumberFormat="1" applyFont="1"/>
    <xf numFmtId="0" fontId="4" fillId="3" borderId="1" xfId="0" applyFont="1" applyFill="1" applyBorder="1"/>
    <xf numFmtId="0" fontId="5" fillId="3" borderId="1" xfId="0" applyFont="1" applyFill="1" applyBorder="1"/>
    <xf numFmtId="41" fontId="12" fillId="0" borderId="0" xfId="0" applyNumberFormat="1" applyFont="1"/>
    <xf numFmtId="41" fontId="7" fillId="0" borderId="0" xfId="0" applyNumberFormat="1" applyFont="1"/>
    <xf numFmtId="41" fontId="7" fillId="0" borderId="2" xfId="0" applyNumberFormat="1" applyFont="1" applyBorder="1"/>
    <xf numFmtId="0" fontId="1" fillId="0" borderId="0" xfId="0" applyFont="1"/>
    <xf numFmtId="0" fontId="1" fillId="2" borderId="1" xfId="0" applyFont="1" applyFill="1" applyBorder="1"/>
    <xf numFmtId="0" fontId="14" fillId="5" borderId="3" xfId="1" applyFont="1" applyFill="1" applyAlignment="1">
      <alignment horizontal="centerContinuous"/>
    </xf>
    <xf numFmtId="165" fontId="14" fillId="5" borderId="3" xfId="0" applyNumberFormat="1" applyFont="1" applyFill="1" applyBorder="1"/>
    <xf numFmtId="0" fontId="1" fillId="2" borderId="0" xfId="0" applyFont="1" applyFill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66" fontId="14" fillId="5" borderId="3" xfId="0" applyNumberFormat="1" applyFont="1" applyFill="1" applyBorder="1"/>
    <xf numFmtId="0" fontId="3" fillId="2" borderId="1" xfId="0" applyFont="1" applyFill="1" applyBorder="1" applyAlignment="1">
      <alignment horizontal="center"/>
    </xf>
    <xf numFmtId="167" fontId="14" fillId="5" borderId="4" xfId="0" applyNumberFormat="1" applyFont="1" applyFill="1" applyBorder="1"/>
    <xf numFmtId="0" fontId="1" fillId="0" borderId="0" xfId="0" applyFont="1" applyAlignment="1">
      <alignment horizontal="left" indent="1"/>
    </xf>
    <xf numFmtId="168" fontId="14" fillId="0" borderId="2" xfId="0" applyNumberFormat="1" applyFont="1" applyBorder="1"/>
    <xf numFmtId="166" fontId="14" fillId="0" borderId="2" xfId="0" applyNumberFormat="1" applyFont="1" applyBorder="1"/>
    <xf numFmtId="168" fontId="1" fillId="0" borderId="0" xfId="0" applyNumberFormat="1" applyFont="1"/>
    <xf numFmtId="167" fontId="12" fillId="5" borderId="4" xfId="0" applyNumberFormat="1" applyFont="1" applyFill="1" applyBorder="1"/>
    <xf numFmtId="168" fontId="14" fillId="0" borderId="0" xfId="0" applyNumberFormat="1" applyFont="1"/>
    <xf numFmtId="166" fontId="14" fillId="0" borderId="0" xfId="0" applyNumberFormat="1" applyFont="1"/>
    <xf numFmtId="169" fontId="14" fillId="5" borderId="3" xfId="0" applyNumberFormat="1" applyFont="1" applyFill="1" applyBorder="1" applyAlignment="1">
      <alignment horizontal="center"/>
    </xf>
    <xf numFmtId="170" fontId="7" fillId="0" borderId="0" xfId="0" applyNumberFormat="1" applyFont="1"/>
    <xf numFmtId="0" fontId="3" fillId="0" borderId="2" xfId="0" applyFont="1" applyBorder="1"/>
    <xf numFmtId="0" fontId="1" fillId="0" borderId="2" xfId="0" applyFont="1" applyBorder="1"/>
    <xf numFmtId="168" fontId="3" fillId="0" borderId="2" xfId="0" applyNumberFormat="1" applyFont="1" applyBorder="1"/>
    <xf numFmtId="171" fontId="14" fillId="0" borderId="0" xfId="0" applyNumberFormat="1" applyFont="1"/>
    <xf numFmtId="41" fontId="14" fillId="5" borderId="3" xfId="0" applyNumberFormat="1" applyFont="1" applyFill="1" applyBorder="1"/>
    <xf numFmtId="41" fontId="12" fillId="5" borderId="3" xfId="0" applyNumberFormat="1" applyFont="1" applyFill="1" applyBorder="1"/>
    <xf numFmtId="168" fontId="3" fillId="0" borderId="0" xfId="0" applyNumberFormat="1" applyFont="1"/>
    <xf numFmtId="0" fontId="1" fillId="0" borderId="1" xfId="0" applyFont="1" applyBorder="1" applyAlignment="1">
      <alignment horizontal="left" indent="1"/>
    </xf>
    <xf numFmtId="0" fontId="1" fillId="0" borderId="1" xfId="0" applyFont="1" applyBorder="1"/>
    <xf numFmtId="41" fontId="14" fillId="5" borderId="5" xfId="0" applyNumberFormat="1" applyFont="1" applyFill="1" applyBorder="1"/>
    <xf numFmtId="170" fontId="3" fillId="0" borderId="0" xfId="0" applyNumberFormat="1" applyFont="1"/>
    <xf numFmtId="168" fontId="12" fillId="0" borderId="0" xfId="0" applyNumberFormat="1" applyFont="1"/>
    <xf numFmtId="170" fontId="15" fillId="5" borderId="3" xfId="0" applyNumberFormat="1" applyFont="1" applyFill="1" applyBorder="1"/>
    <xf numFmtId="170" fontId="12" fillId="5" borderId="3" xfId="0" applyNumberFormat="1" applyFont="1" applyFill="1" applyBorder="1"/>
    <xf numFmtId="0" fontId="1" fillId="0" borderId="6" xfId="0" applyFont="1" applyBorder="1"/>
    <xf numFmtId="41" fontId="3" fillId="0" borderId="2" xfId="0" applyNumberFormat="1" applyFont="1" applyBorder="1"/>
    <xf numFmtId="41" fontId="3" fillId="0" borderId="0" xfId="0" applyNumberFormat="1" applyFont="1"/>
    <xf numFmtId="41" fontId="12" fillId="5" borderId="7" xfId="0" applyNumberFormat="1" applyFont="1" applyFill="1" applyBorder="1"/>
    <xf numFmtId="41" fontId="1" fillId="0" borderId="0" xfId="0" applyNumberFormat="1" applyFont="1"/>
    <xf numFmtId="41" fontId="12" fillId="5" borderId="5" xfId="0" applyNumberFormat="1" applyFont="1" applyFill="1" applyBorder="1"/>
    <xf numFmtId="172" fontId="1" fillId="0" borderId="0" xfId="0" applyNumberFormat="1" applyFont="1"/>
    <xf numFmtId="0" fontId="18" fillId="6" borderId="1" xfId="0" applyFont="1" applyFill="1" applyBorder="1" applyAlignment="1">
      <alignment horizontal="left"/>
    </xf>
    <xf numFmtId="0" fontId="19" fillId="6" borderId="1" xfId="0" applyFont="1" applyFill="1" applyBorder="1" applyAlignment="1">
      <alignment horizontal="left"/>
    </xf>
    <xf numFmtId="0" fontId="20" fillId="7" borderId="1" xfId="0" applyFont="1" applyFill="1" applyBorder="1" applyAlignment="1">
      <alignment horizontal="center" vertical="center"/>
    </xf>
    <xf numFmtId="0" fontId="19" fillId="0" borderId="0" xfId="0" applyFont="1"/>
    <xf numFmtId="0" fontId="4" fillId="7" borderId="0" xfId="0" applyFont="1" applyFill="1" applyAlignment="1">
      <alignment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Continuous" vertical="center"/>
    </xf>
    <xf numFmtId="0" fontId="4" fillId="7" borderId="0" xfId="0" applyFont="1" applyFill="1" applyAlignment="1">
      <alignment horizontal="centerContinuous" vertical="center"/>
    </xf>
    <xf numFmtId="0" fontId="4" fillId="7" borderId="1" xfId="0" applyFont="1" applyFill="1" applyBorder="1" applyAlignment="1">
      <alignment vertical="center"/>
    </xf>
    <xf numFmtId="173" fontId="4" fillId="7" borderId="9" xfId="0" applyNumberFormat="1" applyFont="1" applyFill="1" applyBorder="1" applyAlignment="1">
      <alignment horizontal="center" vertical="center"/>
    </xf>
    <xf numFmtId="173" fontId="4" fillId="7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44" fontId="14" fillId="5" borderId="3" xfId="1" applyNumberFormat="1" applyFont="1" applyFill="1"/>
    <xf numFmtId="49" fontId="3" fillId="2" borderId="1" xfId="0" applyNumberFormat="1" applyFont="1" applyFill="1" applyBorder="1"/>
    <xf numFmtId="4" fontId="14" fillId="5" borderId="3" xfId="1" applyNumberFormat="1" applyFont="1" applyFill="1"/>
    <xf numFmtId="174" fontId="1" fillId="0" borderId="0" xfId="0" applyNumberFormat="1" applyFont="1"/>
    <xf numFmtId="175" fontId="14" fillId="0" borderId="0" xfId="0" applyNumberFormat="1" applyFont="1"/>
    <xf numFmtId="176" fontId="21" fillId="5" borderId="3" xfId="1" applyNumberFormat="1" applyFont="1" applyFill="1" applyAlignment="1">
      <alignment horizontal="center"/>
    </xf>
    <xf numFmtId="177" fontId="1" fillId="0" borderId="0" xfId="0" applyNumberFormat="1" applyFont="1"/>
    <xf numFmtId="175" fontId="12" fillId="0" borderId="0" xfId="0" applyNumberFormat="1" applyFont="1"/>
    <xf numFmtId="0" fontId="7" fillId="2" borderId="1" xfId="2" applyFont="1" applyFill="1" applyBorder="1" applyAlignment="1">
      <alignment horizontal="left"/>
    </xf>
    <xf numFmtId="0" fontId="23" fillId="2" borderId="1" xfId="2" applyFont="1" applyFill="1" applyBorder="1" applyAlignment="1">
      <alignment horizontal="center"/>
    </xf>
    <xf numFmtId="174" fontId="3" fillId="2" borderId="1" xfId="0" applyNumberFormat="1" applyFont="1" applyFill="1" applyBorder="1"/>
    <xf numFmtId="0" fontId="12" fillId="0" borderId="0" xfId="2" applyFont="1" applyAlignment="1">
      <alignment horizontal="left" indent="1"/>
    </xf>
    <xf numFmtId="177" fontId="12" fillId="0" borderId="0" xfId="0" applyNumberFormat="1" applyFont="1"/>
    <xf numFmtId="175" fontId="1" fillId="0" borderId="0" xfId="0" applyNumberFormat="1" applyFont="1"/>
    <xf numFmtId="177" fontId="14" fillId="0" borderId="0" xfId="0" applyNumberFormat="1" applyFont="1"/>
    <xf numFmtId="0" fontId="14" fillId="0" borderId="0" xfId="0" applyFont="1"/>
    <xf numFmtId="0" fontId="7" fillId="2" borderId="2" xfId="2" applyFont="1" applyFill="1" applyBorder="1" applyAlignment="1">
      <alignment horizontal="left"/>
    </xf>
    <xf numFmtId="0" fontId="23" fillId="2" borderId="2" xfId="2" applyFont="1" applyFill="1" applyBorder="1" applyAlignment="1">
      <alignment horizontal="center"/>
    </xf>
    <xf numFmtId="178" fontId="7" fillId="2" borderId="2" xfId="2" applyNumberFormat="1" applyFont="1" applyFill="1" applyBorder="1" applyAlignment="1">
      <alignment horizontal="left"/>
    </xf>
    <xf numFmtId="178" fontId="14" fillId="0" borderId="0" xfId="0" applyNumberFormat="1" applyFont="1"/>
    <xf numFmtId="0" fontId="1" fillId="8" borderId="0" xfId="0" applyFont="1" applyFill="1" applyAlignment="1">
      <alignment horizontal="left" indent="1"/>
    </xf>
    <xf numFmtId="0" fontId="11" fillId="8" borderId="0" xfId="0" applyFont="1" applyFill="1" applyAlignment="1">
      <alignment horizontal="center"/>
    </xf>
    <xf numFmtId="177" fontId="14" fillId="8" borderId="0" xfId="0" applyNumberFormat="1" applyFont="1" applyFill="1"/>
    <xf numFmtId="49" fontId="1" fillId="0" borderId="0" xfId="0" applyNumberFormat="1" applyFont="1" applyAlignment="1">
      <alignment horizontal="left" indent="1"/>
    </xf>
    <xf numFmtId="49" fontId="1" fillId="8" borderId="1" xfId="0" applyNumberFormat="1" applyFont="1" applyFill="1" applyBorder="1" applyAlignment="1">
      <alignment horizontal="left" indent="1"/>
    </xf>
    <xf numFmtId="0" fontId="11" fillId="8" borderId="1" xfId="0" applyFont="1" applyFill="1" applyBorder="1" applyAlignment="1">
      <alignment horizontal="center"/>
    </xf>
    <xf numFmtId="177" fontId="14" fillId="8" borderId="1" xfId="0" applyNumberFormat="1" applyFont="1" applyFill="1" applyBorder="1"/>
    <xf numFmtId="49" fontId="3" fillId="0" borderId="0" xfId="0" applyNumberFormat="1" applyFont="1" applyAlignment="1">
      <alignment horizontal="left"/>
    </xf>
    <xf numFmtId="177" fontId="7" fillId="0" borderId="0" xfId="0" applyNumberFormat="1" applyFont="1"/>
    <xf numFmtId="0" fontId="3" fillId="8" borderId="0" xfId="0" applyFont="1" applyFill="1" applyAlignment="1">
      <alignment horizontal="left"/>
    </xf>
    <xf numFmtId="177" fontId="7" fillId="8" borderId="0" xfId="0" applyNumberFormat="1" applyFont="1" applyFill="1"/>
    <xf numFmtId="0" fontId="11" fillId="8" borderId="0" xfId="0" applyFont="1" applyFill="1" applyAlignment="1">
      <alignment horizontal="left" indent="1"/>
    </xf>
    <xf numFmtId="169" fontId="23" fillId="8" borderId="0" xfId="0" applyNumberFormat="1" applyFont="1" applyFill="1"/>
    <xf numFmtId="0" fontId="3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174" fontId="7" fillId="0" borderId="2" xfId="0" applyNumberFormat="1" applyFont="1" applyBorder="1"/>
    <xf numFmtId="0" fontId="1" fillId="0" borderId="0" xfId="0" applyFont="1" applyAlignment="1">
      <alignment horizontal="left"/>
    </xf>
    <xf numFmtId="177" fontId="3" fillId="8" borderId="0" xfId="0" applyNumberFormat="1" applyFont="1" applyFill="1"/>
    <xf numFmtId="174" fontId="14" fillId="0" borderId="0" xfId="0" applyNumberFormat="1" applyFont="1"/>
    <xf numFmtId="177" fontId="14" fillId="0" borderId="1" xfId="0" applyNumberFormat="1" applyFont="1" applyBorder="1"/>
    <xf numFmtId="177" fontId="3" fillId="0" borderId="0" xfId="0" applyNumberFormat="1" applyFont="1"/>
    <xf numFmtId="174" fontId="7" fillId="8" borderId="0" xfId="0" applyNumberFormat="1" applyFont="1" applyFill="1"/>
    <xf numFmtId="177" fontId="7" fillId="0" borderId="2" xfId="0" applyNumberFormat="1" applyFont="1" applyBorder="1"/>
    <xf numFmtId="43" fontId="1" fillId="0" borderId="0" xfId="0" applyNumberFormat="1" applyFont="1"/>
    <xf numFmtId="174" fontId="15" fillId="8" borderId="0" xfId="0" applyNumberFormat="1" applyFont="1" applyFill="1"/>
    <xf numFmtId="0" fontId="11" fillId="0" borderId="0" xfId="0" applyFont="1"/>
    <xf numFmtId="179" fontId="11" fillId="0" borderId="0" xfId="0" applyNumberFormat="1" applyFont="1"/>
    <xf numFmtId="0" fontId="3" fillId="2" borderId="10" xfId="0" applyFont="1" applyFill="1" applyBorder="1"/>
    <xf numFmtId="174" fontId="7" fillId="0" borderId="0" xfId="0" applyNumberFormat="1" applyFont="1"/>
    <xf numFmtId="177" fontId="12" fillId="8" borderId="0" xfId="0" applyNumberFormat="1" applyFont="1" applyFill="1"/>
    <xf numFmtId="0" fontId="3" fillId="8" borderId="2" xfId="0" applyFont="1" applyFill="1" applyBorder="1"/>
    <xf numFmtId="0" fontId="11" fillId="8" borderId="2" xfId="0" applyFont="1" applyFill="1" applyBorder="1" applyAlignment="1">
      <alignment horizontal="center"/>
    </xf>
    <xf numFmtId="177" fontId="7" fillId="8" borderId="2" xfId="0" applyNumberFormat="1" applyFont="1" applyFill="1" applyBorder="1"/>
    <xf numFmtId="9" fontId="1" fillId="0" borderId="0" xfId="0" applyNumberFormat="1" applyFont="1"/>
    <xf numFmtId="49" fontId="1" fillId="8" borderId="0" xfId="0" applyNumberFormat="1" applyFont="1" applyFill="1" applyAlignment="1">
      <alignment horizontal="left" indent="1"/>
    </xf>
    <xf numFmtId="49" fontId="1" fillId="0" borderId="1" xfId="0" applyNumberFormat="1" applyFont="1" applyBorder="1" applyAlignment="1">
      <alignment horizontal="left" indent="1"/>
    </xf>
    <xf numFmtId="0" fontId="3" fillId="8" borderId="0" xfId="0" applyFont="1" applyFill="1"/>
    <xf numFmtId="177" fontId="14" fillId="0" borderId="11" xfId="0" applyNumberFormat="1" applyFont="1" applyBorder="1"/>
  </cellXfs>
  <cellStyles count="3">
    <cellStyle name="Normal" xfId="0" builtinId="0"/>
    <cellStyle name="Normal 2" xfId="2" xr:uid="{5C02F74C-5CB9-4B3B-B7A3-5D9606E159C0}"/>
    <cellStyle name="Note" xfId="1" builtinId="10"/>
  </cellStyles>
  <dxfs count="0"/>
  <tableStyles count="0" defaultTableStyle="TableStyleMedium2" defaultPivotStyle="PivotStyleLight16"/>
  <colors>
    <mruColors>
      <color rgb="FF1F497D"/>
      <color rgb="FF44546A"/>
      <color rgb="FF0016E4"/>
      <color rgb="FFDA969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N136"/>
  <sheetViews>
    <sheetView showGridLines="0" tabSelected="1" zoomScaleNormal="100" workbookViewId="0">
      <selection activeCell="B2" sqref="B2"/>
    </sheetView>
  </sheetViews>
  <sheetFormatPr defaultRowHeight="15.75" x14ac:dyDescent="0.25"/>
  <cols>
    <col min="1" max="2" width="2.7109375" style="2" customWidth="1"/>
    <col min="3" max="6" width="12.7109375" style="2" customWidth="1"/>
    <col min="7" max="8" width="2.7109375" style="2" customWidth="1"/>
    <col min="9" max="13" width="12.7109375" style="2" customWidth="1"/>
    <col min="14" max="15" width="2.7109375" style="2" customWidth="1"/>
    <col min="16" max="19" width="10.7109375" style="2" customWidth="1"/>
    <col min="20" max="16384" width="9.140625" style="2"/>
  </cols>
  <sheetData>
    <row r="2" spans="2:13" ht="18.75" x14ac:dyDescent="0.3">
      <c r="B2" s="14" t="s">
        <v>97</v>
      </c>
    </row>
    <row r="3" spans="2:13" x14ac:dyDescent="0.25">
      <c r="B3" s="2" t="s">
        <v>24</v>
      </c>
    </row>
    <row r="5" spans="2:13" x14ac:dyDescent="0.25">
      <c r="B5" s="3" t="s">
        <v>33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7" spans="2:13" x14ac:dyDescent="0.25">
      <c r="C7" s="1" t="s">
        <v>34</v>
      </c>
    </row>
    <row r="8" spans="2:13" x14ac:dyDescent="0.25">
      <c r="C8" s="2" t="s">
        <v>35</v>
      </c>
    </row>
    <row r="10" spans="2:13" x14ac:dyDescent="0.25">
      <c r="C10" s="1" t="s">
        <v>36</v>
      </c>
    </row>
    <row r="11" spans="2:13" x14ac:dyDescent="0.25">
      <c r="C11" s="2" t="s">
        <v>37</v>
      </c>
    </row>
    <row r="12" spans="2:13" x14ac:dyDescent="0.25">
      <c r="C12" s="2" t="s">
        <v>38</v>
      </c>
    </row>
    <row r="14" spans="2:13" x14ac:dyDescent="0.25">
      <c r="C14" s="2" t="s">
        <v>39</v>
      </c>
    </row>
    <row r="15" spans="2:13" x14ac:dyDescent="0.25">
      <c r="C15" s="1" t="s">
        <v>40</v>
      </c>
    </row>
    <row r="16" spans="2:13" x14ac:dyDescent="0.25">
      <c r="C16" s="2" t="s">
        <v>41</v>
      </c>
    </row>
    <row r="18" spans="2:14" x14ac:dyDescent="0.25">
      <c r="C18" s="2" t="s">
        <v>42</v>
      </c>
    </row>
    <row r="19" spans="2:14" x14ac:dyDescent="0.25">
      <c r="C19" s="2" t="s">
        <v>43</v>
      </c>
    </row>
    <row r="21" spans="2:14" x14ac:dyDescent="0.25">
      <c r="C21" s="1" t="s">
        <v>44</v>
      </c>
    </row>
    <row r="22" spans="2:14" x14ac:dyDescent="0.25">
      <c r="C22" s="2" t="s">
        <v>45</v>
      </c>
    </row>
    <row r="24" spans="2:14" x14ac:dyDescent="0.25">
      <c r="B24" s="3" t="s">
        <v>46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6" spans="2:14" x14ac:dyDescent="0.25">
      <c r="C26" s="2" t="s">
        <v>47</v>
      </c>
    </row>
    <row r="27" spans="2:14" x14ac:dyDescent="0.25">
      <c r="C27" s="2" t="s">
        <v>48</v>
      </c>
    </row>
    <row r="29" spans="2:14" x14ac:dyDescent="0.25">
      <c r="C29" s="2" t="s">
        <v>49</v>
      </c>
    </row>
    <row r="30" spans="2:14" x14ac:dyDescent="0.25">
      <c r="C30" s="2" t="s">
        <v>50</v>
      </c>
    </row>
    <row r="32" spans="2:14" x14ac:dyDescent="0.25">
      <c r="B32" s="20" t="s">
        <v>5</v>
      </c>
      <c r="C32" s="21"/>
      <c r="D32" s="21"/>
      <c r="E32" s="21"/>
      <c r="F32" s="21"/>
      <c r="H32" s="20" t="s">
        <v>25</v>
      </c>
      <c r="I32" s="21"/>
      <c r="J32" s="21"/>
      <c r="K32" s="21"/>
      <c r="L32" s="21"/>
      <c r="M32" s="21"/>
      <c r="N32" s="5"/>
    </row>
    <row r="34" spans="3:9" x14ac:dyDescent="0.25">
      <c r="C34" s="1" t="s">
        <v>8</v>
      </c>
      <c r="I34" s="2" t="s">
        <v>59</v>
      </c>
    </row>
    <row r="35" spans="3:9" x14ac:dyDescent="0.25">
      <c r="C35" s="15" t="s">
        <v>19</v>
      </c>
      <c r="D35" s="5"/>
      <c r="E35" s="5"/>
      <c r="F35" s="6">
        <v>1098</v>
      </c>
      <c r="I35" s="2" t="s">
        <v>60</v>
      </c>
    </row>
    <row r="36" spans="3:9" x14ac:dyDescent="0.25">
      <c r="C36" s="16" t="s">
        <v>20</v>
      </c>
      <c r="F36" s="7">
        <v>-233</v>
      </c>
    </row>
    <row r="37" spans="3:9" x14ac:dyDescent="0.25">
      <c r="C37" s="16" t="s">
        <v>51</v>
      </c>
      <c r="F37" s="7">
        <v>-58</v>
      </c>
      <c r="I37" s="2" t="s">
        <v>61</v>
      </c>
    </row>
    <row r="38" spans="3:9" x14ac:dyDescent="0.25">
      <c r="C38" s="16" t="s">
        <v>52</v>
      </c>
      <c r="F38" s="7">
        <v>12</v>
      </c>
      <c r="I38" s="2" t="s">
        <v>26</v>
      </c>
    </row>
    <row r="39" spans="3:9" x14ac:dyDescent="0.25">
      <c r="C39" s="16" t="s">
        <v>21</v>
      </c>
      <c r="F39" s="7">
        <v>-58</v>
      </c>
    </row>
    <row r="40" spans="3:9" x14ac:dyDescent="0.25">
      <c r="C40" s="17" t="s">
        <v>6</v>
      </c>
      <c r="D40" s="8"/>
      <c r="E40" s="8"/>
      <c r="F40" s="24">
        <f>SUM(F35:F39)</f>
        <v>761</v>
      </c>
      <c r="I40" s="2" t="s">
        <v>62</v>
      </c>
    </row>
    <row r="41" spans="3:9" x14ac:dyDescent="0.25">
      <c r="C41" s="5"/>
      <c r="D41" s="5"/>
      <c r="E41" s="5"/>
      <c r="F41" s="5"/>
    </row>
    <row r="42" spans="3:9" x14ac:dyDescent="0.25">
      <c r="C42" s="1" t="s">
        <v>7</v>
      </c>
      <c r="I42" s="2" t="s">
        <v>63</v>
      </c>
    </row>
    <row r="43" spans="3:9" x14ac:dyDescent="0.25">
      <c r="C43" s="18" t="s">
        <v>22</v>
      </c>
      <c r="F43" s="7">
        <v>-954</v>
      </c>
      <c r="I43" s="2" t="s">
        <v>64</v>
      </c>
    </row>
    <row r="44" spans="3:9" x14ac:dyDescent="0.25">
      <c r="C44" s="18" t="s">
        <v>23</v>
      </c>
      <c r="F44" s="7">
        <v>-30</v>
      </c>
      <c r="I44" s="2" t="s">
        <v>65</v>
      </c>
    </row>
    <row r="45" spans="3:9" x14ac:dyDescent="0.25">
      <c r="C45" s="16" t="s">
        <v>54</v>
      </c>
      <c r="F45" s="7">
        <v>52</v>
      </c>
    </row>
    <row r="46" spans="3:9" x14ac:dyDescent="0.25">
      <c r="C46" s="18" t="s">
        <v>53</v>
      </c>
      <c r="F46" s="7">
        <v>121</v>
      </c>
      <c r="I46" s="2" t="s">
        <v>66</v>
      </c>
    </row>
    <row r="47" spans="3:9" x14ac:dyDescent="0.25">
      <c r="C47" s="17" t="s">
        <v>10</v>
      </c>
      <c r="D47" s="8"/>
      <c r="E47" s="8"/>
      <c r="F47" s="24">
        <f>SUM(F43:F46)</f>
        <v>-811</v>
      </c>
      <c r="I47" s="2" t="s">
        <v>67</v>
      </c>
    </row>
    <row r="49" spans="3:14" x14ac:dyDescent="0.25">
      <c r="C49" s="1" t="s">
        <v>9</v>
      </c>
      <c r="I49" s="1" t="s">
        <v>68</v>
      </c>
    </row>
    <row r="50" spans="3:14" x14ac:dyDescent="0.25">
      <c r="C50" s="18" t="s">
        <v>14</v>
      </c>
      <c r="F50" s="7">
        <v>-16</v>
      </c>
      <c r="I50" s="2" t="s">
        <v>69</v>
      </c>
    </row>
    <row r="51" spans="3:14" x14ac:dyDescent="0.25">
      <c r="C51" s="18" t="s">
        <v>55</v>
      </c>
      <c r="F51" s="7">
        <v>443</v>
      </c>
      <c r="I51" s="2" t="s">
        <v>70</v>
      </c>
    </row>
    <row r="52" spans="3:14" x14ac:dyDescent="0.25">
      <c r="C52" s="18" t="s">
        <v>56</v>
      </c>
      <c r="F52" s="7">
        <v>0</v>
      </c>
    </row>
    <row r="53" spans="3:14" x14ac:dyDescent="0.25">
      <c r="C53" s="18" t="s">
        <v>57</v>
      </c>
      <c r="F53" s="7">
        <v>-174</v>
      </c>
      <c r="H53" s="3" t="s">
        <v>76</v>
      </c>
      <c r="I53" s="4"/>
      <c r="J53" s="4"/>
      <c r="K53" s="4"/>
      <c r="L53" s="4"/>
      <c r="M53" s="4"/>
    </row>
    <row r="54" spans="3:14" x14ac:dyDescent="0.25">
      <c r="C54" s="18" t="s">
        <v>58</v>
      </c>
      <c r="F54" s="7">
        <v>7</v>
      </c>
    </row>
    <row r="55" spans="3:14" x14ac:dyDescent="0.25">
      <c r="C55" s="17" t="s">
        <v>11</v>
      </c>
      <c r="D55" s="8"/>
      <c r="E55" s="8"/>
      <c r="F55" s="24">
        <f>SUM(F50:F54)</f>
        <v>260</v>
      </c>
      <c r="I55" s="5" t="s">
        <v>27</v>
      </c>
      <c r="J55" s="5"/>
      <c r="K55" s="5"/>
      <c r="M55" s="6">
        <v>466</v>
      </c>
    </row>
    <row r="56" spans="3:14" x14ac:dyDescent="0.25">
      <c r="N56" s="5"/>
    </row>
    <row r="57" spans="3:14" x14ac:dyDescent="0.25">
      <c r="C57" s="1" t="s">
        <v>18</v>
      </c>
      <c r="F57" s="19">
        <v>50</v>
      </c>
      <c r="I57" s="1" t="s">
        <v>28</v>
      </c>
    </row>
    <row r="58" spans="3:14" x14ac:dyDescent="0.25">
      <c r="I58" s="16" t="s">
        <v>12</v>
      </c>
      <c r="M58" s="7">
        <v>484</v>
      </c>
    </row>
    <row r="59" spans="3:14" x14ac:dyDescent="0.25">
      <c r="C59" s="1" t="s">
        <v>2</v>
      </c>
      <c r="F59" s="10">
        <f>+F40+F47+F55+F57</f>
        <v>260</v>
      </c>
      <c r="I59" s="16" t="s">
        <v>71</v>
      </c>
      <c r="M59" s="7">
        <v>0</v>
      </c>
    </row>
    <row r="60" spans="3:14" x14ac:dyDescent="0.25">
      <c r="I60" s="16" t="s">
        <v>72</v>
      </c>
      <c r="M60" s="7">
        <v>-2</v>
      </c>
    </row>
    <row r="61" spans="3:14" x14ac:dyDescent="0.25">
      <c r="C61" s="1" t="s">
        <v>16</v>
      </c>
      <c r="F61" s="11">
        <v>1025</v>
      </c>
      <c r="I61" s="16" t="s">
        <v>73</v>
      </c>
      <c r="M61" s="7">
        <v>-2</v>
      </c>
    </row>
    <row r="62" spans="3:14" x14ac:dyDescent="0.25">
      <c r="C62" s="1" t="s">
        <v>17</v>
      </c>
      <c r="F62" s="10">
        <f>+F61+F59</f>
        <v>1285</v>
      </c>
      <c r="I62" s="16" t="s">
        <v>83</v>
      </c>
      <c r="M62" s="7">
        <v>15</v>
      </c>
    </row>
    <row r="63" spans="3:14" x14ac:dyDescent="0.25">
      <c r="I63" s="16" t="s">
        <v>15</v>
      </c>
      <c r="M63" s="7">
        <v>19</v>
      </c>
    </row>
    <row r="65" spans="2:14" x14ac:dyDescent="0.25">
      <c r="I65" s="1" t="s">
        <v>29</v>
      </c>
    </row>
    <row r="66" spans="2:14" x14ac:dyDescent="0.25">
      <c r="I66" s="16" t="s">
        <v>1</v>
      </c>
      <c r="M66" s="7">
        <v>37</v>
      </c>
    </row>
    <row r="67" spans="2:14" x14ac:dyDescent="0.25">
      <c r="I67" s="16" t="s">
        <v>3</v>
      </c>
      <c r="M67" s="7">
        <v>43</v>
      </c>
    </row>
    <row r="68" spans="2:14" x14ac:dyDescent="0.25">
      <c r="I68" s="16" t="s">
        <v>74</v>
      </c>
      <c r="M68" s="7">
        <v>105</v>
      </c>
    </row>
    <row r="69" spans="2:14" x14ac:dyDescent="0.25">
      <c r="I69" s="16" t="s">
        <v>30</v>
      </c>
      <c r="M69" s="7">
        <v>-3</v>
      </c>
    </row>
    <row r="70" spans="2:14" x14ac:dyDescent="0.25">
      <c r="I70" s="16" t="s">
        <v>31</v>
      </c>
      <c r="M70" s="7">
        <v>-20</v>
      </c>
    </row>
    <row r="71" spans="2:14" x14ac:dyDescent="0.25">
      <c r="I71" s="16" t="s">
        <v>85</v>
      </c>
      <c r="M71" s="7">
        <v>-32</v>
      </c>
    </row>
    <row r="72" spans="2:14" x14ac:dyDescent="0.25">
      <c r="H72" s="5"/>
      <c r="I72" s="16" t="s">
        <v>75</v>
      </c>
      <c r="M72" s="7">
        <v>-12</v>
      </c>
    </row>
    <row r="73" spans="2:14" x14ac:dyDescent="0.25">
      <c r="H73" s="5"/>
      <c r="I73" s="17" t="s">
        <v>19</v>
      </c>
      <c r="J73" s="8"/>
      <c r="K73" s="8"/>
      <c r="L73" s="8"/>
      <c r="M73" s="9">
        <f>SUM(M55:M72)</f>
        <v>1098</v>
      </c>
    </row>
    <row r="75" spans="2:14" x14ac:dyDescent="0.25">
      <c r="C75" s="1" t="s">
        <v>78</v>
      </c>
    </row>
    <row r="76" spans="2:14" x14ac:dyDescent="0.25">
      <c r="C76" s="2" t="s">
        <v>79</v>
      </c>
    </row>
    <row r="78" spans="2:14" x14ac:dyDescent="0.25">
      <c r="B78" s="3" t="s">
        <v>77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</row>
    <row r="80" spans="2:14" x14ac:dyDescent="0.25">
      <c r="B80" s="20" t="s">
        <v>5</v>
      </c>
      <c r="C80" s="21"/>
      <c r="D80" s="21"/>
      <c r="E80" s="21"/>
      <c r="F80" s="21"/>
      <c r="H80" s="5"/>
      <c r="J80" s="5"/>
      <c r="K80" s="5"/>
      <c r="M80" s="6"/>
    </row>
    <row r="82" spans="3:9" x14ac:dyDescent="0.25">
      <c r="C82" s="1" t="s">
        <v>8</v>
      </c>
      <c r="H82" s="1"/>
    </row>
    <row r="83" spans="3:9" x14ac:dyDescent="0.25">
      <c r="C83" s="15" t="s">
        <v>0</v>
      </c>
      <c r="D83" s="5"/>
      <c r="E83" s="5"/>
      <c r="F83" s="6">
        <v>349</v>
      </c>
      <c r="I83" s="2" t="s">
        <v>32</v>
      </c>
    </row>
    <row r="84" spans="3:9" x14ac:dyDescent="0.25">
      <c r="C84" s="1" t="s">
        <v>28</v>
      </c>
    </row>
    <row r="85" spans="3:9" x14ac:dyDescent="0.25">
      <c r="C85" s="16" t="str">
        <f>I58</f>
        <v>Depreciation:</v>
      </c>
      <c r="F85" s="22">
        <f>M58</f>
        <v>484</v>
      </c>
      <c r="I85" s="2" t="s">
        <v>80</v>
      </c>
    </row>
    <row r="86" spans="3:9" x14ac:dyDescent="0.25">
      <c r="C86" s="16" t="str">
        <f t="shared" ref="C86:C90" si="0">I59</f>
        <v>Loss on Disposal of Intangibles:</v>
      </c>
      <c r="F86" s="22">
        <f t="shared" ref="F86:F90" si="1">M59</f>
        <v>0</v>
      </c>
      <c r="I86" s="2" t="s">
        <v>81</v>
      </c>
    </row>
    <row r="87" spans="3:9" x14ac:dyDescent="0.25">
      <c r="C87" s="16" t="str">
        <f t="shared" si="0"/>
        <v>Commercial IT (Credit) / Charge:</v>
      </c>
      <c r="F87" s="22">
        <f t="shared" si="1"/>
        <v>-2</v>
      </c>
    </row>
    <row r="88" spans="3:9" x14ac:dyDescent="0.25">
      <c r="C88" s="16" t="str">
        <f t="shared" si="0"/>
        <v>(Gain) / Loss on Sale and Leaseback:</v>
      </c>
      <c r="F88" s="22">
        <f t="shared" si="1"/>
        <v>-2</v>
      </c>
      <c r="H88" s="1"/>
      <c r="I88" s="2" t="s">
        <v>82</v>
      </c>
    </row>
    <row r="89" spans="3:9" x14ac:dyDescent="0.25">
      <c r="C89" s="16" t="str">
        <f t="shared" si="0"/>
        <v>Amortisation of Intangible Assets:</v>
      </c>
      <c r="F89" s="22">
        <f t="shared" si="1"/>
        <v>15</v>
      </c>
      <c r="H89" s="1"/>
    </row>
    <row r="90" spans="3:9" x14ac:dyDescent="0.25">
      <c r="C90" s="16" t="str">
        <f t="shared" si="0"/>
        <v>Stock-Based Compensation:</v>
      </c>
      <c r="F90" s="22">
        <f t="shared" si="1"/>
        <v>19</v>
      </c>
      <c r="H90" s="1"/>
    </row>
    <row r="91" spans="3:9" x14ac:dyDescent="0.25">
      <c r="C91" s="16" t="s">
        <v>13</v>
      </c>
      <c r="F91" s="22">
        <f>-58+81</f>
        <v>23</v>
      </c>
      <c r="I91" s="2" t="s">
        <v>86</v>
      </c>
    </row>
    <row r="92" spans="3:9" x14ac:dyDescent="0.25">
      <c r="C92" s="16" t="s">
        <v>84</v>
      </c>
      <c r="F92" s="7">
        <v>49.000000000000092</v>
      </c>
      <c r="I92" s="2" t="s">
        <v>88</v>
      </c>
    </row>
    <row r="93" spans="3:9" x14ac:dyDescent="0.25">
      <c r="C93" s="1" t="s">
        <v>29</v>
      </c>
      <c r="I93" s="16" t="s">
        <v>89</v>
      </c>
    </row>
    <row r="94" spans="3:9" x14ac:dyDescent="0.25">
      <c r="C94" s="16" t="str">
        <f>+I66</f>
        <v>Change in Accounts Receivable:</v>
      </c>
      <c r="F94" s="22">
        <f>M66</f>
        <v>37</v>
      </c>
    </row>
    <row r="95" spans="3:9" x14ac:dyDescent="0.25">
      <c r="C95" s="16" t="str">
        <f t="shared" ref="C95:C99" si="2">+I67</f>
        <v>Change in Accounts Payable:</v>
      </c>
      <c r="F95" s="22">
        <f t="shared" ref="F95:F96" si="3">M67</f>
        <v>43</v>
      </c>
    </row>
    <row r="96" spans="3:9" x14ac:dyDescent="0.25">
      <c r="C96" s="16" t="s">
        <v>4</v>
      </c>
      <c r="F96" s="22">
        <f>M68+M72</f>
        <v>93</v>
      </c>
      <c r="I96" s="2" t="s">
        <v>90</v>
      </c>
    </row>
    <row r="97" spans="2:9" x14ac:dyDescent="0.25">
      <c r="C97" s="16" t="str">
        <f t="shared" si="2"/>
        <v>Change in Provisions:</v>
      </c>
      <c r="F97" s="22">
        <f>M69</f>
        <v>-3</v>
      </c>
      <c r="H97" s="5"/>
    </row>
    <row r="98" spans="2:9" x14ac:dyDescent="0.25">
      <c r="C98" s="16" t="str">
        <f t="shared" si="2"/>
        <v>Change in Other Non-Current Assets:</v>
      </c>
      <c r="F98" s="22">
        <f t="shared" ref="F98:F99" si="4">M70</f>
        <v>-20</v>
      </c>
      <c r="H98" s="5"/>
    </row>
    <row r="99" spans="2:9" x14ac:dyDescent="0.25">
      <c r="C99" s="16" t="str">
        <f t="shared" si="2"/>
        <v>Change in Derivative Instruments:</v>
      </c>
      <c r="F99" s="22">
        <f t="shared" si="4"/>
        <v>-32</v>
      </c>
    </row>
    <row r="100" spans="2:9" x14ac:dyDescent="0.25">
      <c r="B100" s="5"/>
      <c r="C100" s="17" t="s">
        <v>19</v>
      </c>
      <c r="D100" s="8"/>
      <c r="E100" s="8"/>
      <c r="F100" s="24">
        <f>SUM(F83:F99)</f>
        <v>1053</v>
      </c>
    </row>
    <row r="101" spans="2:9" x14ac:dyDescent="0.25">
      <c r="B101" s="5"/>
      <c r="C101" s="13"/>
      <c r="D101" s="5"/>
      <c r="E101" s="5"/>
      <c r="F101" s="10"/>
    </row>
    <row r="102" spans="2:9" x14ac:dyDescent="0.25">
      <c r="C102" s="1" t="s">
        <v>7</v>
      </c>
    </row>
    <row r="103" spans="2:9" x14ac:dyDescent="0.25">
      <c r="C103" s="18" t="str">
        <f>+C43</f>
        <v>Purchase of PP&amp;E:</v>
      </c>
      <c r="F103" s="22">
        <f>F43</f>
        <v>-954</v>
      </c>
      <c r="I103" s="2" t="s">
        <v>91</v>
      </c>
    </row>
    <row r="104" spans="2:9" x14ac:dyDescent="0.25">
      <c r="C104" s="18" t="str">
        <f>+C44</f>
        <v>Purchases of Intangible Assets:</v>
      </c>
      <c r="F104" s="22">
        <f>F44</f>
        <v>-30</v>
      </c>
      <c r="I104" s="5" t="s">
        <v>92</v>
      </c>
    </row>
    <row r="105" spans="2:9" x14ac:dyDescent="0.25">
      <c r="C105" s="18" t="str">
        <f>+C46</f>
        <v>Sale &amp; Leaseback of Aircraft:</v>
      </c>
      <c r="F105" s="22">
        <f>F46</f>
        <v>121</v>
      </c>
      <c r="I105" s="5" t="s">
        <v>93</v>
      </c>
    </row>
    <row r="106" spans="2:9" x14ac:dyDescent="0.25">
      <c r="C106" s="17" t="s">
        <v>10</v>
      </c>
      <c r="D106" s="8"/>
      <c r="E106" s="8"/>
      <c r="F106" s="24">
        <f>SUM(F103:F105)</f>
        <v>-863</v>
      </c>
    </row>
    <row r="108" spans="2:9" x14ac:dyDescent="0.25">
      <c r="C108" s="1" t="s">
        <v>9</v>
      </c>
    </row>
    <row r="109" spans="2:9" x14ac:dyDescent="0.25">
      <c r="C109" s="18" t="str">
        <f>+C50</f>
        <v>Share Repurchases:</v>
      </c>
      <c r="F109" s="22">
        <f>F50</f>
        <v>-16</v>
      </c>
      <c r="I109" s="2" t="s">
        <v>94</v>
      </c>
    </row>
    <row r="110" spans="2:9" x14ac:dyDescent="0.25">
      <c r="C110" s="18" t="str">
        <f t="shared" ref="C110" si="5">+C51</f>
        <v>Debt Issuances:</v>
      </c>
      <c r="F110" s="22">
        <f t="shared" ref="F110" si="6">F51</f>
        <v>443</v>
      </c>
      <c r="I110" s="2" t="s">
        <v>95</v>
      </c>
    </row>
    <row r="111" spans="2:9" x14ac:dyDescent="0.25">
      <c r="C111" s="18" t="s">
        <v>87</v>
      </c>
      <c r="F111" s="22">
        <f>F36</f>
        <v>-233</v>
      </c>
      <c r="I111" s="2" t="s">
        <v>96</v>
      </c>
    </row>
    <row r="112" spans="2:9" x14ac:dyDescent="0.25">
      <c r="C112" s="18" t="str">
        <f>+C52</f>
        <v>Repayment of Finance Lease Capital:</v>
      </c>
      <c r="F112" s="22">
        <f>F52</f>
        <v>0</v>
      </c>
    </row>
    <row r="113" spans="3:7" x14ac:dyDescent="0.25">
      <c r="C113" s="18" t="str">
        <f>+C53</f>
        <v>Repayment of Operating Lease Capital:</v>
      </c>
      <c r="F113" s="22">
        <f t="shared" ref="F113" si="7">F53</f>
        <v>-174</v>
      </c>
    </row>
    <row r="114" spans="3:7" x14ac:dyDescent="0.25">
      <c r="C114" s="17" t="s">
        <v>11</v>
      </c>
      <c r="D114" s="8"/>
      <c r="E114" s="8"/>
      <c r="F114" s="24">
        <f>SUM(F109:F113)</f>
        <v>20</v>
      </c>
    </row>
    <row r="116" spans="3:7" x14ac:dyDescent="0.25">
      <c r="C116" s="1" t="s">
        <v>18</v>
      </c>
      <c r="F116" s="23">
        <f>F57</f>
        <v>50</v>
      </c>
    </row>
    <row r="118" spans="3:7" x14ac:dyDescent="0.25">
      <c r="C118" s="1" t="s">
        <v>2</v>
      </c>
      <c r="F118" s="10">
        <f>+F100+F106+F114+F116</f>
        <v>260</v>
      </c>
    </row>
    <row r="120" spans="3:7" x14ac:dyDescent="0.25">
      <c r="C120" s="1" t="s">
        <v>16</v>
      </c>
      <c r="F120" s="11">
        <v>1025</v>
      </c>
    </row>
    <row r="121" spans="3:7" x14ac:dyDescent="0.25">
      <c r="C121" s="1" t="s">
        <v>17</v>
      </c>
      <c r="F121" s="10">
        <f>+F118+F120</f>
        <v>1285</v>
      </c>
    </row>
    <row r="124" spans="3:7" x14ac:dyDescent="0.25">
      <c r="G124" s="7"/>
    </row>
    <row r="125" spans="3:7" x14ac:dyDescent="0.25">
      <c r="G125" s="7"/>
    </row>
    <row r="126" spans="3:7" x14ac:dyDescent="0.25">
      <c r="G126" s="7"/>
    </row>
    <row r="127" spans="3:7" x14ac:dyDescent="0.25">
      <c r="G127" s="7"/>
    </row>
    <row r="130" spans="4:7" x14ac:dyDescent="0.25">
      <c r="G130" s="7"/>
    </row>
    <row r="131" spans="4:7" x14ac:dyDescent="0.25">
      <c r="G131" s="7"/>
    </row>
    <row r="132" spans="4:7" x14ac:dyDescent="0.25">
      <c r="G132" s="7"/>
    </row>
    <row r="133" spans="4:7" x14ac:dyDescent="0.25">
      <c r="G133" s="7"/>
    </row>
    <row r="134" spans="4:7" x14ac:dyDescent="0.25">
      <c r="G134" s="7"/>
    </row>
    <row r="135" spans="4:7" x14ac:dyDescent="0.25">
      <c r="D135" s="5"/>
      <c r="E135" s="5"/>
      <c r="F135" s="5"/>
      <c r="G135" s="12"/>
    </row>
    <row r="136" spans="4:7" x14ac:dyDescent="0.25">
      <c r="D136" s="5"/>
      <c r="E136" s="5"/>
      <c r="F136" s="5"/>
      <c r="G136" s="10"/>
    </row>
  </sheetData>
  <pageMargins left="0.7" right="0.7" top="0.75" bottom="0.75" header="0.3" footer="0.3"/>
  <pageSetup scale="59" orientation="portrait" r:id="rId1"/>
  <rowBreaks count="2" manualBreakCount="2">
    <brk id="31" max="13" man="1"/>
    <brk id="77" max="16383" man="1"/>
  </rowBreaks>
  <ignoredErrors>
    <ignoredError sqref="F9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F674-9A36-4E6B-A28C-26AFF9D7BDC8}">
  <sheetPr>
    <pageSetUpPr autoPageBreaks="0"/>
  </sheetPr>
  <dimension ref="B2:N123"/>
  <sheetViews>
    <sheetView showGridLines="0" topLeftCell="A94" zoomScaleNormal="100" workbookViewId="0">
      <selection activeCell="I111" sqref="I111"/>
    </sheetView>
  </sheetViews>
  <sheetFormatPr defaultRowHeight="15.75" outlineLevelRow="1" x14ac:dyDescent="0.25"/>
  <cols>
    <col min="1" max="2" width="2.7109375" style="25" customWidth="1"/>
    <col min="3" max="3" width="54" style="25" bestFit="1" customWidth="1"/>
    <col min="4" max="4" width="17.28515625" style="25" customWidth="1"/>
    <col min="5" max="5" width="17.28515625" style="25" bestFit="1" customWidth="1"/>
    <col min="6" max="7" width="17.28515625" style="25" customWidth="1"/>
    <col min="8" max="9" width="2.7109375" style="25" customWidth="1"/>
    <col min="10" max="10" width="54" style="25" customWidth="1"/>
    <col min="11" max="14" width="17.28515625" style="25" customWidth="1"/>
    <col min="15" max="15" width="2.7109375" style="25" customWidth="1"/>
    <col min="16" max="16384" width="9.140625" style="25"/>
  </cols>
  <sheetData>
    <row r="2" spans="2:14" ht="18.75" x14ac:dyDescent="0.3">
      <c r="B2" s="14" t="s">
        <v>177</v>
      </c>
    </row>
    <row r="3" spans="2:14" x14ac:dyDescent="0.25">
      <c r="B3" s="25" t="s">
        <v>178</v>
      </c>
    </row>
    <row r="5" spans="2:14" x14ac:dyDescent="0.25">
      <c r="B5" s="65" t="s">
        <v>179</v>
      </c>
      <c r="C5" s="66"/>
      <c r="D5" s="67" t="s">
        <v>180</v>
      </c>
      <c r="E5" s="66"/>
      <c r="F5" s="66"/>
      <c r="G5" s="66"/>
      <c r="H5" s="68"/>
      <c r="I5" s="69"/>
      <c r="J5" s="69"/>
      <c r="K5" s="69"/>
      <c r="L5" s="70" t="str">
        <f>$E$27</f>
        <v>"Old" (Pre-2019)</v>
      </c>
      <c r="M5" s="71"/>
      <c r="N5" s="72" t="str">
        <f>$G$27</f>
        <v>U.S. GAAP</v>
      </c>
    </row>
    <row r="6" spans="2:14" x14ac:dyDescent="0.25">
      <c r="I6" s="73" t="s">
        <v>181</v>
      </c>
      <c r="J6" s="73"/>
      <c r="K6" s="67" t="str">
        <f>$D$28</f>
        <v>Units:</v>
      </c>
      <c r="L6" s="74" t="str">
        <f>$E$28</f>
        <v>System</v>
      </c>
      <c r="M6" s="74" t="str">
        <f>$F$28</f>
        <v>IFRS 16</v>
      </c>
      <c r="N6" s="75" t="str">
        <f>$G$28</f>
        <v>ASC 842</v>
      </c>
    </row>
    <row r="7" spans="2:14" outlineLevel="1" x14ac:dyDescent="0.25">
      <c r="C7" s="25" t="s">
        <v>108</v>
      </c>
      <c r="D7" s="76" t="s">
        <v>182</v>
      </c>
      <c r="E7" s="77">
        <v>10</v>
      </c>
      <c r="I7" s="78" t="s">
        <v>183</v>
      </c>
      <c r="J7" s="3"/>
      <c r="K7" s="3"/>
      <c r="L7" s="3"/>
      <c r="M7" s="3"/>
      <c r="N7" s="3"/>
    </row>
    <row r="8" spans="2:14" outlineLevel="1" x14ac:dyDescent="0.25">
      <c r="C8" s="25" t="s">
        <v>184</v>
      </c>
      <c r="D8" s="76" t="s">
        <v>185</v>
      </c>
      <c r="E8" s="79">
        <v>100</v>
      </c>
    </row>
    <row r="9" spans="2:14" outlineLevel="1" x14ac:dyDescent="0.25">
      <c r="J9" s="25" t="s">
        <v>186</v>
      </c>
      <c r="K9" s="76" t="s">
        <v>187</v>
      </c>
      <c r="L9" s="80">
        <f>+E40</f>
        <v>45</v>
      </c>
      <c r="M9" s="81" t="s">
        <v>170</v>
      </c>
      <c r="N9" s="80">
        <f>+G40</f>
        <v>45</v>
      </c>
    </row>
    <row r="10" spans="2:14" outlineLevel="1" x14ac:dyDescent="0.25">
      <c r="C10" s="25" t="s">
        <v>188</v>
      </c>
      <c r="D10" s="76" t="s">
        <v>189</v>
      </c>
      <c r="E10" s="82">
        <v>0.2</v>
      </c>
      <c r="J10" s="25" t="s">
        <v>149</v>
      </c>
      <c r="K10" s="76" t="s">
        <v>187</v>
      </c>
      <c r="L10" s="83">
        <f>+E52</f>
        <v>105</v>
      </c>
      <c r="M10" s="81" t="s">
        <v>170</v>
      </c>
      <c r="N10" s="83">
        <f>+G52</f>
        <v>105</v>
      </c>
    </row>
    <row r="11" spans="2:14" outlineLevel="1" x14ac:dyDescent="0.25">
      <c r="J11" s="25" t="s">
        <v>155</v>
      </c>
      <c r="K11" s="76" t="s">
        <v>187</v>
      </c>
      <c r="L11" s="81" t="s">
        <v>170</v>
      </c>
      <c r="M11" s="81" t="s">
        <v>170</v>
      </c>
      <c r="N11" s="81" t="s">
        <v>170</v>
      </c>
    </row>
    <row r="12" spans="2:14" outlineLevel="1" x14ac:dyDescent="0.25">
      <c r="E12" s="31" t="s">
        <v>190</v>
      </c>
      <c r="F12" s="31" t="s">
        <v>191</v>
      </c>
      <c r="K12" s="76"/>
      <c r="L12" s="83"/>
      <c r="M12" s="83"/>
      <c r="N12" s="83"/>
    </row>
    <row r="13" spans="2:14" outlineLevel="1" x14ac:dyDescent="0.25">
      <c r="E13" s="31" t="s">
        <v>192</v>
      </c>
      <c r="F13" s="31" t="s">
        <v>192</v>
      </c>
      <c r="J13" s="25" t="s">
        <v>193</v>
      </c>
      <c r="K13" s="76" t="s">
        <v>194</v>
      </c>
      <c r="L13" s="84">
        <f>IFERROR(+$E$21/L9,"N/A")</f>
        <v>24.222222222222221</v>
      </c>
      <c r="M13" s="84" t="str">
        <f t="shared" ref="M13:N13" si="0">IFERROR(+$E$21/M9,"N/A")</f>
        <v>N/A</v>
      </c>
      <c r="N13" s="84">
        <f t="shared" si="0"/>
        <v>24.222222222222221</v>
      </c>
    </row>
    <row r="14" spans="2:14" outlineLevel="1" x14ac:dyDescent="0.25">
      <c r="E14" s="31"/>
      <c r="F14" s="31"/>
      <c r="J14" s="25" t="s">
        <v>195</v>
      </c>
      <c r="K14" s="76" t="s">
        <v>194</v>
      </c>
      <c r="L14" s="84">
        <f t="shared" ref="L14:N15" si="1">IFERROR(+$E$21/L10,"N/A")</f>
        <v>10.380952380952381</v>
      </c>
      <c r="M14" s="84" t="str">
        <f t="shared" si="1"/>
        <v>N/A</v>
      </c>
      <c r="N14" s="84">
        <f t="shared" si="1"/>
        <v>10.380952380952381</v>
      </c>
    </row>
    <row r="15" spans="2:14" outlineLevel="1" x14ac:dyDescent="0.25">
      <c r="C15" s="85" t="s">
        <v>161</v>
      </c>
      <c r="D15" s="86" t="s">
        <v>187</v>
      </c>
      <c r="E15" s="87">
        <f>Share_Price*Shares</f>
        <v>1000</v>
      </c>
      <c r="F15" s="87">
        <f>Share_Price*Shares</f>
        <v>1000</v>
      </c>
      <c r="J15" s="25" t="s">
        <v>196</v>
      </c>
      <c r="K15" s="76" t="s">
        <v>194</v>
      </c>
      <c r="L15" s="84" t="str">
        <f t="shared" si="1"/>
        <v>N/A</v>
      </c>
      <c r="M15" s="84" t="str">
        <f t="shared" si="1"/>
        <v>N/A</v>
      </c>
      <c r="N15" s="84" t="str">
        <f t="shared" si="1"/>
        <v>N/A</v>
      </c>
    </row>
    <row r="16" spans="2:14" outlineLevel="1" x14ac:dyDescent="0.25">
      <c r="C16" s="88" t="s">
        <v>124</v>
      </c>
      <c r="D16" s="76" t="s">
        <v>187</v>
      </c>
      <c r="E16" s="89">
        <f>-$E$62</f>
        <v>-200</v>
      </c>
      <c r="F16" s="89">
        <f>-$E$62</f>
        <v>-200</v>
      </c>
      <c r="K16" s="76"/>
      <c r="L16" s="90"/>
      <c r="M16" s="90"/>
      <c r="N16" s="90"/>
    </row>
    <row r="17" spans="2:14" outlineLevel="1" x14ac:dyDescent="0.25">
      <c r="C17" s="35" t="s">
        <v>197</v>
      </c>
      <c r="D17" s="76" t="s">
        <v>187</v>
      </c>
      <c r="E17" s="91">
        <v>0</v>
      </c>
      <c r="F17" s="89">
        <f>+E17</f>
        <v>0</v>
      </c>
      <c r="I17" s="78" t="s">
        <v>198</v>
      </c>
      <c r="J17" s="3"/>
      <c r="K17" s="3"/>
      <c r="L17" s="3"/>
      <c r="M17" s="3"/>
      <c r="N17" s="3"/>
    </row>
    <row r="18" spans="2:14" outlineLevel="1" x14ac:dyDescent="0.25">
      <c r="C18" s="35" t="s">
        <v>130</v>
      </c>
      <c r="D18" s="76" t="s">
        <v>187</v>
      </c>
      <c r="E18" s="89">
        <f>+$E$84</f>
        <v>140</v>
      </c>
      <c r="F18" s="89">
        <f>+$E$84</f>
        <v>140</v>
      </c>
    </row>
    <row r="19" spans="2:14" outlineLevel="1" x14ac:dyDescent="0.25">
      <c r="C19" s="35" t="s">
        <v>136</v>
      </c>
      <c r="D19" s="76" t="s">
        <v>187</v>
      </c>
      <c r="E19" s="89">
        <f>+$E$85</f>
        <v>150</v>
      </c>
      <c r="F19" s="89">
        <f>+$E$85</f>
        <v>150</v>
      </c>
      <c r="J19" s="25" t="str">
        <f>J9</f>
        <v>EBIT:</v>
      </c>
      <c r="K19" s="76" t="s">
        <v>187</v>
      </c>
      <c r="L19" s="92" t="s">
        <v>170</v>
      </c>
      <c r="M19" s="92" t="s">
        <v>170</v>
      </c>
      <c r="N19" s="92" t="s">
        <v>170</v>
      </c>
    </row>
    <row r="20" spans="2:14" outlineLevel="1" x14ac:dyDescent="0.25">
      <c r="C20" s="35" t="s">
        <v>199</v>
      </c>
      <c r="D20" s="76" t="s">
        <v>187</v>
      </c>
      <c r="E20" s="91">
        <v>0</v>
      </c>
      <c r="F20" s="89">
        <f>+F86</f>
        <v>210</v>
      </c>
      <c r="J20" s="25" t="str">
        <f>J10</f>
        <v>EBITDA:</v>
      </c>
      <c r="K20" s="76" t="s">
        <v>187</v>
      </c>
      <c r="L20" s="92" t="s">
        <v>170</v>
      </c>
      <c r="M20" s="83">
        <f>+F52</f>
        <v>140</v>
      </c>
      <c r="N20" s="92" t="s">
        <v>170</v>
      </c>
    </row>
    <row r="21" spans="2:14" outlineLevel="1" x14ac:dyDescent="0.25">
      <c r="C21" s="93" t="s">
        <v>137</v>
      </c>
      <c r="D21" s="94" t="s">
        <v>187</v>
      </c>
      <c r="E21" s="95">
        <f>SUM(E15:E20)</f>
        <v>1090</v>
      </c>
      <c r="F21" s="95">
        <f>SUM(F15:F20)</f>
        <v>1300</v>
      </c>
      <c r="J21" s="25" t="str">
        <f>J11</f>
        <v>EBITDAR:</v>
      </c>
      <c r="K21" s="76" t="s">
        <v>187</v>
      </c>
      <c r="L21" s="83">
        <f>+E55</f>
        <v>140</v>
      </c>
      <c r="M21" s="83">
        <f>+F55</f>
        <v>140</v>
      </c>
      <c r="N21" s="83">
        <f>+G55</f>
        <v>140</v>
      </c>
    </row>
    <row r="22" spans="2:14" outlineLevel="1" x14ac:dyDescent="0.25">
      <c r="K22" s="76"/>
    </row>
    <row r="23" spans="2:14" outlineLevel="1" x14ac:dyDescent="0.25">
      <c r="J23" s="25" t="str">
        <f>J13</f>
        <v>TEV / EBIT:</v>
      </c>
      <c r="K23" s="76" t="s">
        <v>194</v>
      </c>
      <c r="L23" s="90" t="str">
        <f>IFERROR($F$21/L19,"N/A")</f>
        <v>N/A</v>
      </c>
      <c r="M23" s="90" t="str">
        <f t="shared" ref="M23:N23" si="2">IFERROR($F$21/M19,"N/A")</f>
        <v>N/A</v>
      </c>
      <c r="N23" s="90" t="str">
        <f t="shared" si="2"/>
        <v>N/A</v>
      </c>
    </row>
    <row r="24" spans="2:14" outlineLevel="1" x14ac:dyDescent="0.25">
      <c r="J24" s="25" t="str">
        <f>J14</f>
        <v>TEV / EBITDA:</v>
      </c>
      <c r="K24" s="76" t="s">
        <v>194</v>
      </c>
      <c r="L24" s="90" t="str">
        <f t="shared" ref="L24:N25" si="3">IFERROR($F$21/L20,"N/A")</f>
        <v>N/A</v>
      </c>
      <c r="M24" s="90">
        <f t="shared" si="3"/>
        <v>9.2857142857142865</v>
      </c>
      <c r="N24" s="90" t="str">
        <f t="shared" si="3"/>
        <v>N/A</v>
      </c>
    </row>
    <row r="25" spans="2:14" outlineLevel="1" x14ac:dyDescent="0.25">
      <c r="J25" s="25" t="str">
        <f>J15</f>
        <v>TEV / EBITDAR:</v>
      </c>
      <c r="K25" s="76" t="s">
        <v>194</v>
      </c>
      <c r="L25" s="90">
        <f t="shared" si="3"/>
        <v>9.2857142857142865</v>
      </c>
      <c r="M25" s="90">
        <f t="shared" si="3"/>
        <v>9.2857142857142865</v>
      </c>
      <c r="N25" s="90">
        <f t="shared" si="3"/>
        <v>9.2857142857142865</v>
      </c>
    </row>
    <row r="27" spans="2:14" x14ac:dyDescent="0.25">
      <c r="B27" s="69"/>
      <c r="C27" s="69"/>
      <c r="D27" s="69"/>
      <c r="E27" s="70" t="s">
        <v>200</v>
      </c>
      <c r="F27" s="71"/>
      <c r="G27" s="72" t="s">
        <v>201</v>
      </c>
    </row>
    <row r="28" spans="2:14" x14ac:dyDescent="0.25">
      <c r="B28" s="73" t="s">
        <v>202</v>
      </c>
      <c r="C28" s="73"/>
      <c r="D28" s="67" t="s">
        <v>180</v>
      </c>
      <c r="E28" s="74" t="s">
        <v>203</v>
      </c>
      <c r="F28" s="74" t="s">
        <v>204</v>
      </c>
      <c r="G28" s="75" t="s">
        <v>205</v>
      </c>
      <c r="I28" s="78" t="s">
        <v>206</v>
      </c>
      <c r="J28" s="3"/>
      <c r="K28" s="3"/>
      <c r="L28" s="3"/>
      <c r="M28" s="3"/>
      <c r="N28" s="3"/>
    </row>
    <row r="29" spans="2:14" outlineLevel="1" x14ac:dyDescent="0.25"/>
    <row r="30" spans="2:14" outlineLevel="1" x14ac:dyDescent="0.25">
      <c r="C30" s="1" t="s">
        <v>141</v>
      </c>
      <c r="D30" s="76" t="s">
        <v>187</v>
      </c>
      <c r="E30" s="96">
        <v>1000</v>
      </c>
      <c r="F30" s="96">
        <v>1000</v>
      </c>
      <c r="G30" s="96">
        <v>1000</v>
      </c>
    </row>
    <row r="31" spans="2:14" outlineLevel="1" x14ac:dyDescent="0.25"/>
    <row r="32" spans="2:14" outlineLevel="1" x14ac:dyDescent="0.25">
      <c r="C32" s="1" t="s">
        <v>207</v>
      </c>
      <c r="E32" s="83"/>
      <c r="F32" s="83"/>
      <c r="G32" s="83"/>
    </row>
    <row r="33" spans="3:10" outlineLevel="1" x14ac:dyDescent="0.25">
      <c r="C33" s="35" t="s">
        <v>208</v>
      </c>
      <c r="D33" s="76" t="s">
        <v>187</v>
      </c>
      <c r="E33" s="91">
        <v>-215</v>
      </c>
      <c r="F33" s="91">
        <v>-215</v>
      </c>
      <c r="G33" s="91">
        <v>-215</v>
      </c>
    </row>
    <row r="34" spans="3:10" outlineLevel="1" x14ac:dyDescent="0.25">
      <c r="C34" s="35" t="s">
        <v>209</v>
      </c>
      <c r="D34" s="76" t="s">
        <v>187</v>
      </c>
      <c r="E34" s="91">
        <v>-645</v>
      </c>
      <c r="F34" s="91">
        <v>-645</v>
      </c>
      <c r="G34" s="91">
        <v>-645</v>
      </c>
    </row>
    <row r="35" spans="3:10" outlineLevel="1" x14ac:dyDescent="0.25">
      <c r="C35" s="97" t="s">
        <v>210</v>
      </c>
      <c r="D35" s="98" t="s">
        <v>187</v>
      </c>
      <c r="E35" s="99">
        <v>-35</v>
      </c>
      <c r="F35" s="99">
        <v>0</v>
      </c>
      <c r="G35" s="99">
        <v>-35</v>
      </c>
      <c r="J35" s="25" t="s">
        <v>211</v>
      </c>
    </row>
    <row r="36" spans="3:10" outlineLevel="1" x14ac:dyDescent="0.25">
      <c r="C36" s="100" t="s">
        <v>212</v>
      </c>
      <c r="D36" s="76" t="s">
        <v>187</v>
      </c>
      <c r="E36" s="91">
        <v>-60</v>
      </c>
      <c r="F36" s="91">
        <v>-60</v>
      </c>
      <c r="G36" s="91">
        <v>-60</v>
      </c>
    </row>
    <row r="37" spans="3:10" outlineLevel="1" x14ac:dyDescent="0.25">
      <c r="C37" s="101" t="s">
        <v>213</v>
      </c>
      <c r="D37" s="102" t="s">
        <v>187</v>
      </c>
      <c r="E37" s="103">
        <v>0</v>
      </c>
      <c r="F37" s="103">
        <v>-25</v>
      </c>
      <c r="G37" s="103">
        <v>0</v>
      </c>
      <c r="J37" s="25" t="s">
        <v>214</v>
      </c>
    </row>
    <row r="38" spans="3:10" outlineLevel="1" x14ac:dyDescent="0.25">
      <c r="C38" s="104" t="s">
        <v>215</v>
      </c>
      <c r="D38" s="76" t="s">
        <v>187</v>
      </c>
      <c r="E38" s="105">
        <f>SUM(E33:E37)</f>
        <v>-955</v>
      </c>
      <c r="F38" s="105">
        <f t="shared" ref="F38:G38" si="4">SUM(F33:F37)</f>
        <v>-945</v>
      </c>
      <c r="G38" s="105">
        <f t="shared" si="4"/>
        <v>-955</v>
      </c>
    </row>
    <row r="39" spans="3:10" outlineLevel="1" x14ac:dyDescent="0.25">
      <c r="C39" s="100"/>
      <c r="E39" s="91"/>
      <c r="F39" s="91"/>
      <c r="G39" s="91"/>
    </row>
    <row r="40" spans="3:10" ht="14.45" customHeight="1" outlineLevel="1" x14ac:dyDescent="0.25">
      <c r="C40" s="106" t="s">
        <v>216</v>
      </c>
      <c r="D40" s="98" t="s">
        <v>187</v>
      </c>
      <c r="E40" s="107">
        <f>+E30+E38</f>
        <v>45</v>
      </c>
      <c r="F40" s="107">
        <f t="shared" ref="F40:G40" si="5">+F30+F38</f>
        <v>55</v>
      </c>
      <c r="G40" s="107">
        <f t="shared" si="5"/>
        <v>45</v>
      </c>
    </row>
    <row r="41" spans="3:10" outlineLevel="1" x14ac:dyDescent="0.25">
      <c r="C41" s="108" t="s">
        <v>217</v>
      </c>
      <c r="D41" s="98" t="s">
        <v>189</v>
      </c>
      <c r="E41" s="109">
        <f>+E40/E$30</f>
        <v>4.4999999999999998E-2</v>
      </c>
      <c r="F41" s="109">
        <f>+F40/F$30</f>
        <v>5.5E-2</v>
      </c>
      <c r="G41" s="109">
        <f>+G40/G$30</f>
        <v>4.4999999999999998E-2</v>
      </c>
    </row>
    <row r="42" spans="3:10" outlineLevel="1" x14ac:dyDescent="0.25">
      <c r="E42" s="83"/>
      <c r="F42" s="83"/>
      <c r="G42" s="83"/>
    </row>
    <row r="43" spans="3:10" outlineLevel="1" x14ac:dyDescent="0.25">
      <c r="C43" s="1" t="s">
        <v>218</v>
      </c>
      <c r="E43" s="83"/>
      <c r="F43" s="83"/>
      <c r="G43" s="83"/>
    </row>
    <row r="44" spans="3:10" outlineLevel="1" x14ac:dyDescent="0.25">
      <c r="C44" s="100" t="s">
        <v>219</v>
      </c>
      <c r="D44" s="76" t="s">
        <v>187</v>
      </c>
      <c r="E44" s="91">
        <v>-15</v>
      </c>
      <c r="F44" s="91">
        <v>-15</v>
      </c>
      <c r="G44" s="91">
        <v>-15</v>
      </c>
    </row>
    <row r="45" spans="3:10" outlineLevel="1" x14ac:dyDescent="0.25">
      <c r="C45" s="101" t="s">
        <v>220</v>
      </c>
      <c r="D45" s="102" t="s">
        <v>187</v>
      </c>
      <c r="E45" s="103">
        <v>0</v>
      </c>
      <c r="F45" s="103">
        <v>-10</v>
      </c>
      <c r="G45" s="103">
        <v>0</v>
      </c>
      <c r="J45" s="25" t="s">
        <v>221</v>
      </c>
    </row>
    <row r="46" spans="3:10" outlineLevel="1" x14ac:dyDescent="0.25">
      <c r="C46" s="104" t="s">
        <v>222</v>
      </c>
      <c r="D46" s="76" t="s">
        <v>187</v>
      </c>
      <c r="E46" s="105">
        <f>SUM(E44:E45)</f>
        <v>-15</v>
      </c>
      <c r="F46" s="105">
        <f t="shared" ref="F46:G46" si="6">SUM(F44:F45)</f>
        <v>-25</v>
      </c>
      <c r="G46" s="105">
        <f t="shared" si="6"/>
        <v>-15</v>
      </c>
      <c r="J46" s="25" t="s">
        <v>223</v>
      </c>
    </row>
    <row r="47" spans="3:10" outlineLevel="1" x14ac:dyDescent="0.25">
      <c r="C47" s="100"/>
      <c r="E47" s="91"/>
      <c r="F47" s="91"/>
      <c r="G47" s="91"/>
    </row>
    <row r="48" spans="3:10" outlineLevel="1" x14ac:dyDescent="0.25">
      <c r="C48" s="110" t="s">
        <v>224</v>
      </c>
      <c r="D48" s="76" t="s">
        <v>187</v>
      </c>
      <c r="E48" s="105">
        <f>+E40+E46</f>
        <v>30</v>
      </c>
      <c r="F48" s="105">
        <f t="shared" ref="F48:G48" si="7">+F40+F46</f>
        <v>30</v>
      </c>
      <c r="G48" s="105">
        <f t="shared" si="7"/>
        <v>30</v>
      </c>
    </row>
    <row r="49" spans="2:7" outlineLevel="1" x14ac:dyDescent="0.25">
      <c r="C49" s="35" t="s">
        <v>225</v>
      </c>
      <c r="D49" s="111" t="s">
        <v>187</v>
      </c>
      <c r="E49" s="89">
        <f>-E48*Tax_Rate</f>
        <v>-6</v>
      </c>
      <c r="F49" s="89">
        <f>-F48*Tax_Rate</f>
        <v>-6</v>
      </c>
      <c r="G49" s="89">
        <f>-G48*Tax_Rate</f>
        <v>-6</v>
      </c>
    </row>
    <row r="50" spans="2:7" outlineLevel="1" x14ac:dyDescent="0.25">
      <c r="C50" s="17" t="s">
        <v>0</v>
      </c>
      <c r="D50" s="76" t="s">
        <v>187</v>
      </c>
      <c r="E50" s="112">
        <f>SUM(E48:E49)</f>
        <v>24</v>
      </c>
      <c r="F50" s="112">
        <f t="shared" ref="F50:G50" si="8">SUM(F48:F49)</f>
        <v>24</v>
      </c>
      <c r="G50" s="112">
        <f t="shared" si="8"/>
        <v>24</v>
      </c>
    </row>
    <row r="51" spans="2:7" outlineLevel="1" x14ac:dyDescent="0.25">
      <c r="C51" s="113"/>
      <c r="E51" s="83"/>
      <c r="F51" s="83"/>
      <c r="G51" s="83"/>
    </row>
    <row r="52" spans="2:7" outlineLevel="1" x14ac:dyDescent="0.25">
      <c r="C52" s="106" t="s">
        <v>149</v>
      </c>
      <c r="D52" s="98" t="s">
        <v>187</v>
      </c>
      <c r="E52" s="114">
        <f>+E40-E36-E37</f>
        <v>105</v>
      </c>
      <c r="F52" s="114">
        <f t="shared" ref="F52:G52" si="9">+F40-F36-F37</f>
        <v>140</v>
      </c>
      <c r="G52" s="114">
        <f t="shared" si="9"/>
        <v>105</v>
      </c>
    </row>
    <row r="53" spans="2:7" outlineLevel="1" x14ac:dyDescent="0.25">
      <c r="C53" s="108" t="s">
        <v>226</v>
      </c>
      <c r="D53" s="98" t="s">
        <v>189</v>
      </c>
      <c r="E53" s="109">
        <f>+E52/E$30</f>
        <v>0.105</v>
      </c>
      <c r="F53" s="109">
        <f>+F52/F$30</f>
        <v>0.14000000000000001</v>
      </c>
      <c r="G53" s="109">
        <f>+G52/G$30</f>
        <v>0.105</v>
      </c>
    </row>
    <row r="54" spans="2:7" outlineLevel="1" x14ac:dyDescent="0.25">
      <c r="C54" s="113"/>
      <c r="E54" s="83"/>
      <c r="F54" s="83"/>
      <c r="G54" s="83"/>
    </row>
    <row r="55" spans="2:7" outlineLevel="1" x14ac:dyDescent="0.25">
      <c r="C55" s="106" t="s">
        <v>155</v>
      </c>
      <c r="D55" s="98" t="s">
        <v>187</v>
      </c>
      <c r="E55" s="114">
        <f>+E52-E35</f>
        <v>140</v>
      </c>
      <c r="F55" s="114">
        <f t="shared" ref="F55:G55" si="10">+F52-F35</f>
        <v>140</v>
      </c>
      <c r="G55" s="114">
        <f t="shared" si="10"/>
        <v>140</v>
      </c>
    </row>
    <row r="56" spans="2:7" outlineLevel="1" x14ac:dyDescent="0.25">
      <c r="C56" s="108" t="s">
        <v>227</v>
      </c>
      <c r="D56" s="98" t="s">
        <v>189</v>
      </c>
      <c r="E56" s="109">
        <f>+E55/E$30</f>
        <v>0.14000000000000001</v>
      </c>
      <c r="F56" s="109">
        <f>+F55/F$30</f>
        <v>0.14000000000000001</v>
      </c>
      <c r="G56" s="109">
        <f>+G55/G$30</f>
        <v>0.14000000000000001</v>
      </c>
    </row>
    <row r="57" spans="2:7" x14ac:dyDescent="0.25">
      <c r="C57" s="113"/>
      <c r="E57" s="83"/>
      <c r="F57" s="83"/>
      <c r="G57" s="83"/>
    </row>
    <row r="58" spans="2:7" x14ac:dyDescent="0.25">
      <c r="B58" s="69"/>
      <c r="C58" s="69"/>
      <c r="D58" s="69"/>
      <c r="E58" s="70" t="str">
        <f>$E$27</f>
        <v>"Old" (Pre-2019)</v>
      </c>
      <c r="F58" s="71"/>
      <c r="G58" s="72" t="str">
        <f>$G$27</f>
        <v>U.S. GAAP</v>
      </c>
    </row>
    <row r="59" spans="2:7" x14ac:dyDescent="0.25">
      <c r="B59" s="73" t="s">
        <v>228</v>
      </c>
      <c r="C59" s="73"/>
      <c r="D59" s="67" t="str">
        <f>$D$28</f>
        <v>Units:</v>
      </c>
      <c r="E59" s="74" t="str">
        <f>$E$28</f>
        <v>System</v>
      </c>
      <c r="F59" s="74" t="str">
        <f>$F$28</f>
        <v>IFRS 16</v>
      </c>
      <c r="G59" s="75" t="str">
        <f>$G$28</f>
        <v>ASC 842</v>
      </c>
    </row>
    <row r="60" spans="2:7" outlineLevel="1" x14ac:dyDescent="0.25">
      <c r="B60" s="78" t="s">
        <v>229</v>
      </c>
      <c r="C60" s="3"/>
      <c r="D60" s="3"/>
      <c r="E60" s="3"/>
      <c r="F60" s="3"/>
      <c r="G60" s="3"/>
    </row>
    <row r="61" spans="2:7" outlineLevel="1" x14ac:dyDescent="0.25">
      <c r="C61" s="1" t="s">
        <v>230</v>
      </c>
    </row>
    <row r="62" spans="2:7" outlineLevel="1" x14ac:dyDescent="0.25">
      <c r="C62" s="35" t="s">
        <v>231</v>
      </c>
      <c r="D62" s="76" t="s">
        <v>187</v>
      </c>
      <c r="E62" s="115">
        <v>200</v>
      </c>
      <c r="F62" s="115">
        <v>200</v>
      </c>
      <c r="G62" s="115">
        <v>200</v>
      </c>
    </row>
    <row r="63" spans="2:7" outlineLevel="1" x14ac:dyDescent="0.25">
      <c r="C63" s="35" t="s">
        <v>232</v>
      </c>
      <c r="D63" s="76" t="s">
        <v>187</v>
      </c>
      <c r="E63" s="91">
        <v>65</v>
      </c>
      <c r="F63" s="91">
        <v>65</v>
      </c>
      <c r="G63" s="91">
        <v>65</v>
      </c>
    </row>
    <row r="64" spans="2:7" outlineLevel="1" x14ac:dyDescent="0.25">
      <c r="C64" s="51" t="s">
        <v>233</v>
      </c>
      <c r="D64" s="111" t="s">
        <v>187</v>
      </c>
      <c r="E64" s="116">
        <v>30</v>
      </c>
      <c r="F64" s="116">
        <v>30</v>
      </c>
      <c r="G64" s="116">
        <v>30</v>
      </c>
    </row>
    <row r="65" spans="2:10" outlineLevel="1" x14ac:dyDescent="0.25">
      <c r="C65" s="110" t="s">
        <v>234</v>
      </c>
      <c r="D65" s="76" t="s">
        <v>187</v>
      </c>
      <c r="E65" s="105">
        <f>SUM(E62:E64)</f>
        <v>295</v>
      </c>
      <c r="F65" s="105">
        <f>SUM(F62:F64)</f>
        <v>295</v>
      </c>
      <c r="G65" s="105">
        <f>SUM(G62:G64)</f>
        <v>295</v>
      </c>
    </row>
    <row r="66" spans="2:10" outlineLevel="1" x14ac:dyDescent="0.25">
      <c r="E66" s="83"/>
      <c r="F66" s="83"/>
      <c r="G66" s="83"/>
    </row>
    <row r="67" spans="2:10" outlineLevel="1" x14ac:dyDescent="0.25">
      <c r="C67" s="110" t="s">
        <v>235</v>
      </c>
      <c r="E67" s="83"/>
      <c r="F67" s="83"/>
      <c r="G67" s="83"/>
    </row>
    <row r="68" spans="2:10" outlineLevel="1" x14ac:dyDescent="0.25">
      <c r="C68" s="35" t="s">
        <v>236</v>
      </c>
      <c r="D68" s="76" t="s">
        <v>187</v>
      </c>
      <c r="E68" s="91">
        <v>400</v>
      </c>
      <c r="F68" s="91">
        <v>400</v>
      </c>
      <c r="G68" s="91">
        <v>400</v>
      </c>
    </row>
    <row r="69" spans="2:10" outlineLevel="1" x14ac:dyDescent="0.25">
      <c r="C69" s="35" t="s">
        <v>237</v>
      </c>
      <c r="D69" s="76" t="s">
        <v>187</v>
      </c>
      <c r="E69" s="91">
        <v>160</v>
      </c>
      <c r="F69" s="91">
        <v>160</v>
      </c>
      <c r="G69" s="91">
        <v>160</v>
      </c>
    </row>
    <row r="70" spans="2:10" outlineLevel="1" x14ac:dyDescent="0.25">
      <c r="C70" s="97" t="s">
        <v>238</v>
      </c>
      <c r="D70" s="98" t="s">
        <v>187</v>
      </c>
      <c r="E70" s="99">
        <v>0</v>
      </c>
      <c r="F70" s="99">
        <v>210</v>
      </c>
      <c r="G70" s="99">
        <v>225</v>
      </c>
      <c r="J70" s="25" t="s">
        <v>239</v>
      </c>
    </row>
    <row r="71" spans="2:10" outlineLevel="1" x14ac:dyDescent="0.25">
      <c r="C71" s="35" t="s">
        <v>240</v>
      </c>
      <c r="D71" s="76" t="s">
        <v>187</v>
      </c>
      <c r="E71" s="91">
        <v>150</v>
      </c>
      <c r="F71" s="91">
        <v>150</v>
      </c>
      <c r="G71" s="91">
        <v>150</v>
      </c>
    </row>
    <row r="72" spans="2:10" outlineLevel="1" x14ac:dyDescent="0.25">
      <c r="C72" s="51" t="s">
        <v>241</v>
      </c>
      <c r="D72" s="111" t="s">
        <v>187</v>
      </c>
      <c r="E72" s="116">
        <v>50</v>
      </c>
      <c r="F72" s="116">
        <v>50</v>
      </c>
      <c r="G72" s="116">
        <v>50</v>
      </c>
    </row>
    <row r="73" spans="2:10" outlineLevel="1" x14ac:dyDescent="0.25">
      <c r="C73" s="106" t="s">
        <v>242</v>
      </c>
      <c r="D73" s="98" t="s">
        <v>187</v>
      </c>
      <c r="E73" s="107">
        <f>SUM(E68:E72)</f>
        <v>760</v>
      </c>
      <c r="F73" s="107">
        <f>SUM(F68:F72)</f>
        <v>970</v>
      </c>
      <c r="G73" s="107">
        <f>SUM(G68:G72)</f>
        <v>985</v>
      </c>
    </row>
    <row r="74" spans="2:10" outlineLevel="1" x14ac:dyDescent="0.25">
      <c r="C74" s="110"/>
      <c r="E74" s="83"/>
      <c r="F74" s="117"/>
      <c r="G74" s="117"/>
    </row>
    <row r="75" spans="2:10" outlineLevel="1" x14ac:dyDescent="0.25">
      <c r="C75" s="106" t="s">
        <v>243</v>
      </c>
      <c r="D75" s="98" t="s">
        <v>187</v>
      </c>
      <c r="E75" s="118">
        <f>+E65+E73</f>
        <v>1055</v>
      </c>
      <c r="F75" s="118">
        <f>+F65+F73</f>
        <v>1265</v>
      </c>
      <c r="G75" s="118">
        <f>+G65+G73</f>
        <v>1280</v>
      </c>
      <c r="H75" s="83"/>
    </row>
    <row r="76" spans="2:10" outlineLevel="1" x14ac:dyDescent="0.25">
      <c r="C76" s="110"/>
      <c r="E76" s="83"/>
      <c r="F76" s="117"/>
      <c r="G76" s="117"/>
      <c r="H76" s="83"/>
    </row>
    <row r="77" spans="2:10" outlineLevel="1" x14ac:dyDescent="0.25">
      <c r="B77" s="3" t="s">
        <v>244</v>
      </c>
      <c r="C77" s="3"/>
      <c r="D77" s="3"/>
      <c r="E77" s="3"/>
      <c r="F77" s="3"/>
      <c r="G77" s="3"/>
      <c r="H77" s="83"/>
    </row>
    <row r="78" spans="2:10" outlineLevel="1" x14ac:dyDescent="0.25">
      <c r="C78" s="1" t="s">
        <v>245</v>
      </c>
      <c r="D78" s="1"/>
      <c r="E78" s="1"/>
      <c r="F78" s="83"/>
      <c r="G78" s="83"/>
      <c r="H78" s="83"/>
    </row>
    <row r="79" spans="2:10" outlineLevel="1" x14ac:dyDescent="0.25">
      <c r="C79" s="35" t="s">
        <v>246</v>
      </c>
      <c r="D79" s="76" t="s">
        <v>187</v>
      </c>
      <c r="E79" s="115">
        <v>120</v>
      </c>
      <c r="F79" s="115">
        <v>120</v>
      </c>
      <c r="G79" s="115">
        <v>120</v>
      </c>
      <c r="H79" s="83"/>
    </row>
    <row r="80" spans="2:10" outlineLevel="1" x14ac:dyDescent="0.25">
      <c r="C80" s="35" t="s">
        <v>247</v>
      </c>
      <c r="D80" s="111" t="s">
        <v>187</v>
      </c>
      <c r="E80" s="91">
        <v>110</v>
      </c>
      <c r="F80" s="91">
        <v>110</v>
      </c>
      <c r="G80" s="91">
        <v>110</v>
      </c>
      <c r="H80" s="83"/>
    </row>
    <row r="81" spans="3:10" outlineLevel="1" x14ac:dyDescent="0.25">
      <c r="C81" s="17" t="s">
        <v>248</v>
      </c>
      <c r="D81" s="76" t="s">
        <v>187</v>
      </c>
      <c r="E81" s="119">
        <f>SUM(E79:E80)</f>
        <v>230</v>
      </c>
      <c r="F81" s="119">
        <f>SUM(F79:F80)</f>
        <v>230</v>
      </c>
      <c r="G81" s="119">
        <f>SUM(G79:G80)</f>
        <v>230</v>
      </c>
      <c r="H81" s="83"/>
    </row>
    <row r="82" spans="3:10" outlineLevel="1" x14ac:dyDescent="0.25">
      <c r="E82" s="83"/>
      <c r="F82" s="83"/>
      <c r="G82" s="83"/>
      <c r="H82" s="83"/>
    </row>
    <row r="83" spans="3:10" outlineLevel="1" x14ac:dyDescent="0.25">
      <c r="C83" s="110" t="s">
        <v>249</v>
      </c>
      <c r="E83" s="120"/>
      <c r="F83" s="120"/>
      <c r="G83" s="120"/>
      <c r="H83" s="83"/>
    </row>
    <row r="84" spans="3:10" outlineLevel="1" x14ac:dyDescent="0.25">
      <c r="C84" s="35" t="s">
        <v>250</v>
      </c>
      <c r="D84" s="76" t="s">
        <v>187</v>
      </c>
      <c r="E84" s="91">
        <v>140</v>
      </c>
      <c r="F84" s="91">
        <v>140</v>
      </c>
      <c r="G84" s="91">
        <v>140</v>
      </c>
      <c r="H84" s="83"/>
    </row>
    <row r="85" spans="3:10" outlineLevel="1" x14ac:dyDescent="0.25">
      <c r="C85" s="35" t="s">
        <v>251</v>
      </c>
      <c r="D85" s="76" t="s">
        <v>187</v>
      </c>
      <c r="E85" s="91">
        <v>150</v>
      </c>
      <c r="F85" s="91">
        <v>150</v>
      </c>
      <c r="G85" s="91">
        <v>150</v>
      </c>
      <c r="H85" s="83"/>
    </row>
    <row r="86" spans="3:10" outlineLevel="1" x14ac:dyDescent="0.25">
      <c r="C86" s="97" t="s">
        <v>252</v>
      </c>
      <c r="D86" s="98" t="s">
        <v>187</v>
      </c>
      <c r="E86" s="99">
        <v>0</v>
      </c>
      <c r="F86" s="99">
        <v>210</v>
      </c>
      <c r="G86" s="99">
        <v>210</v>
      </c>
      <c r="H86" s="83"/>
      <c r="J86" s="25" t="s">
        <v>239</v>
      </c>
    </row>
    <row r="87" spans="3:10" outlineLevel="1" x14ac:dyDescent="0.25">
      <c r="C87" s="51" t="s">
        <v>253</v>
      </c>
      <c r="D87" s="111" t="s">
        <v>187</v>
      </c>
      <c r="E87" s="116">
        <v>400</v>
      </c>
      <c r="F87" s="116">
        <v>400</v>
      </c>
      <c r="G87" s="116">
        <v>400</v>
      </c>
      <c r="H87" s="83"/>
      <c r="J87" s="25" t="s">
        <v>254</v>
      </c>
    </row>
    <row r="88" spans="3:10" outlineLevel="1" x14ac:dyDescent="0.25">
      <c r="C88" s="106" t="s">
        <v>255</v>
      </c>
      <c r="D88" s="98" t="s">
        <v>187</v>
      </c>
      <c r="E88" s="107">
        <f>SUM(E84:E87)</f>
        <v>690</v>
      </c>
      <c r="F88" s="107">
        <f>SUM(F84:F87)</f>
        <v>900</v>
      </c>
      <c r="G88" s="107">
        <f>SUM(G84:G87)</f>
        <v>900</v>
      </c>
    </row>
    <row r="89" spans="3:10" outlineLevel="1" x14ac:dyDescent="0.25">
      <c r="C89" s="110"/>
      <c r="E89" s="83"/>
      <c r="F89" s="117"/>
      <c r="G89" s="117"/>
    </row>
    <row r="90" spans="3:10" outlineLevel="1" x14ac:dyDescent="0.25">
      <c r="C90" s="106" t="s">
        <v>256</v>
      </c>
      <c r="D90" s="98" t="s">
        <v>187</v>
      </c>
      <c r="E90" s="118">
        <f>+E81+E88</f>
        <v>920</v>
      </c>
      <c r="F90" s="118">
        <f>+F81+F88</f>
        <v>1130</v>
      </c>
      <c r="G90" s="118">
        <f>+G81+G88</f>
        <v>1130</v>
      </c>
    </row>
    <row r="91" spans="3:10" outlineLevel="1" x14ac:dyDescent="0.25">
      <c r="E91" s="83"/>
      <c r="F91" s="83"/>
      <c r="G91" s="83"/>
    </row>
    <row r="92" spans="3:10" outlineLevel="1" x14ac:dyDescent="0.25">
      <c r="C92" s="106" t="s">
        <v>257</v>
      </c>
      <c r="D92" s="98" t="s">
        <v>187</v>
      </c>
      <c r="E92" s="121">
        <v>135</v>
      </c>
      <c r="F92" s="121">
        <v>135</v>
      </c>
      <c r="G92" s="121">
        <v>150</v>
      </c>
      <c r="J92" s="25" t="s">
        <v>258</v>
      </c>
    </row>
    <row r="93" spans="3:10" outlineLevel="1" x14ac:dyDescent="0.25">
      <c r="C93" s="110"/>
      <c r="E93" s="83"/>
      <c r="F93" s="117"/>
      <c r="G93" s="117"/>
    </row>
    <row r="94" spans="3:10" outlineLevel="1" x14ac:dyDescent="0.25">
      <c r="C94" s="106" t="s">
        <v>259</v>
      </c>
      <c r="D94" s="98" t="s">
        <v>187</v>
      </c>
      <c r="E94" s="118">
        <f>+E90+E92</f>
        <v>1055</v>
      </c>
      <c r="F94" s="118">
        <f>+F90+F92</f>
        <v>1265</v>
      </c>
      <c r="G94" s="118">
        <f>+G90+G92</f>
        <v>1280</v>
      </c>
    </row>
    <row r="95" spans="3:10" outlineLevel="1" x14ac:dyDescent="0.25">
      <c r="C95" s="35"/>
      <c r="E95" s="83"/>
      <c r="F95" s="83"/>
      <c r="G95" s="117"/>
    </row>
    <row r="96" spans="3:10" ht="14.45" customHeight="1" outlineLevel="1" x14ac:dyDescent="0.25">
      <c r="C96" s="122" t="s">
        <v>260</v>
      </c>
      <c r="E96" s="123">
        <f>E75-E94</f>
        <v>0</v>
      </c>
      <c r="F96" s="123">
        <f>F75-F94</f>
        <v>0</v>
      </c>
      <c r="G96" s="123">
        <f>G75-G94</f>
        <v>0</v>
      </c>
    </row>
    <row r="98" spans="2:10" x14ac:dyDescent="0.25">
      <c r="B98" s="69"/>
      <c r="C98" s="69"/>
      <c r="D98" s="69"/>
      <c r="E98" s="70" t="str">
        <f>$E$27</f>
        <v>"Old" (Pre-2019)</v>
      </c>
      <c r="F98" s="71"/>
      <c r="G98" s="72" t="str">
        <f>$G$27</f>
        <v>U.S. GAAP</v>
      </c>
    </row>
    <row r="99" spans="2:10" x14ac:dyDescent="0.25">
      <c r="B99" s="73" t="s">
        <v>5</v>
      </c>
      <c r="C99" s="73"/>
      <c r="D99" s="67" t="str">
        <f>$D$28</f>
        <v>Units:</v>
      </c>
      <c r="E99" s="74" t="str">
        <f>$E$28</f>
        <v>System</v>
      </c>
      <c r="F99" s="74" t="str">
        <f>$F$28</f>
        <v>IFRS 16</v>
      </c>
      <c r="G99" s="75" t="str">
        <f>$G$28</f>
        <v>ASC 842</v>
      </c>
    </row>
    <row r="100" spans="2:10" outlineLevel="1" x14ac:dyDescent="0.25">
      <c r="B100" s="3" t="s">
        <v>261</v>
      </c>
      <c r="C100" s="124"/>
      <c r="D100" s="3"/>
      <c r="E100" s="3" t="s">
        <v>262</v>
      </c>
      <c r="F100" s="3" t="s">
        <v>262</v>
      </c>
      <c r="G100" s="3" t="s">
        <v>262</v>
      </c>
    </row>
    <row r="101" spans="2:10" outlineLevel="1" x14ac:dyDescent="0.25">
      <c r="C101" s="1" t="s">
        <v>0</v>
      </c>
      <c r="D101" s="76" t="s">
        <v>187</v>
      </c>
      <c r="E101" s="125">
        <f>+E50</f>
        <v>24</v>
      </c>
      <c r="F101" s="125">
        <f>+F50</f>
        <v>24</v>
      </c>
      <c r="G101" s="125">
        <f>+G50</f>
        <v>24</v>
      </c>
    </row>
    <row r="102" spans="2:10" outlineLevel="1" x14ac:dyDescent="0.25">
      <c r="C102" s="1" t="s">
        <v>263</v>
      </c>
      <c r="E102" s="120"/>
      <c r="F102" s="120"/>
      <c r="G102" s="120"/>
    </row>
    <row r="103" spans="2:10" outlineLevel="1" x14ac:dyDescent="0.25">
      <c r="C103" s="35" t="s">
        <v>264</v>
      </c>
      <c r="D103" s="76" t="s">
        <v>187</v>
      </c>
      <c r="E103" s="89">
        <f>-E36</f>
        <v>60</v>
      </c>
      <c r="F103" s="89">
        <f t="shared" ref="F103:G103" si="11">-F36</f>
        <v>60</v>
      </c>
      <c r="G103" s="89">
        <f t="shared" si="11"/>
        <v>60</v>
      </c>
    </row>
    <row r="104" spans="2:10" outlineLevel="1" x14ac:dyDescent="0.25">
      <c r="C104" s="97" t="s">
        <v>265</v>
      </c>
      <c r="D104" s="98" t="s">
        <v>187</v>
      </c>
      <c r="E104" s="126">
        <f t="shared" ref="E104:G104" si="12">-E37</f>
        <v>0</v>
      </c>
      <c r="F104" s="126">
        <f t="shared" si="12"/>
        <v>25</v>
      </c>
      <c r="G104" s="126">
        <f t="shared" si="12"/>
        <v>0</v>
      </c>
      <c r="J104" s="25" t="s">
        <v>266</v>
      </c>
    </row>
    <row r="105" spans="2:10" outlineLevel="1" x14ac:dyDescent="0.25">
      <c r="C105" s="100" t="s">
        <v>267</v>
      </c>
      <c r="D105" s="76" t="s">
        <v>187</v>
      </c>
      <c r="E105" s="91">
        <v>10</v>
      </c>
      <c r="F105" s="91">
        <v>10</v>
      </c>
      <c r="G105" s="91">
        <v>10</v>
      </c>
    </row>
    <row r="106" spans="2:10" outlineLevel="1" x14ac:dyDescent="0.25">
      <c r="C106" s="35" t="s">
        <v>156</v>
      </c>
      <c r="D106" s="76" t="s">
        <v>187</v>
      </c>
      <c r="E106" s="91">
        <v>-5</v>
      </c>
      <c r="F106" s="91">
        <v>-5</v>
      </c>
      <c r="G106" s="91">
        <v>-5</v>
      </c>
    </row>
    <row r="107" spans="2:10" outlineLevel="1" x14ac:dyDescent="0.25">
      <c r="C107" s="127" t="s">
        <v>268</v>
      </c>
      <c r="D107" s="128" t="s">
        <v>187</v>
      </c>
      <c r="E107" s="129">
        <f>SUM(E101:E106)</f>
        <v>89</v>
      </c>
      <c r="F107" s="129">
        <f>SUM(F101:F106)</f>
        <v>114</v>
      </c>
      <c r="G107" s="129">
        <f>SUM(G101:G106)</f>
        <v>89</v>
      </c>
    </row>
    <row r="108" spans="2:10" outlineLevel="1" x14ac:dyDescent="0.25">
      <c r="C108" s="1"/>
      <c r="E108" s="83"/>
      <c r="F108" s="130"/>
      <c r="G108" s="130"/>
    </row>
    <row r="109" spans="2:10" outlineLevel="1" x14ac:dyDescent="0.25">
      <c r="B109" s="3" t="s">
        <v>269</v>
      </c>
      <c r="C109" s="3"/>
      <c r="D109" s="3"/>
      <c r="E109" s="3"/>
      <c r="F109" s="3"/>
      <c r="G109" s="3"/>
    </row>
    <row r="110" spans="2:10" outlineLevel="1" x14ac:dyDescent="0.25">
      <c r="C110" s="35" t="s">
        <v>142</v>
      </c>
      <c r="D110" s="76" t="s">
        <v>187</v>
      </c>
      <c r="E110" s="91">
        <v>-110</v>
      </c>
      <c r="F110" s="91">
        <v>-110</v>
      </c>
      <c r="G110" s="91">
        <v>-110</v>
      </c>
    </row>
    <row r="111" spans="2:10" ht="14.45" customHeight="1" outlineLevel="1" x14ac:dyDescent="0.25">
      <c r="C111" s="35" t="s">
        <v>270</v>
      </c>
      <c r="D111" s="111" t="s">
        <v>187</v>
      </c>
      <c r="E111" s="91">
        <v>20</v>
      </c>
      <c r="F111" s="91">
        <v>20</v>
      </c>
      <c r="G111" s="91">
        <v>20</v>
      </c>
    </row>
    <row r="112" spans="2:10" outlineLevel="1" x14ac:dyDescent="0.25">
      <c r="C112" s="44" t="s">
        <v>271</v>
      </c>
      <c r="D112" s="76" t="s">
        <v>187</v>
      </c>
      <c r="E112" s="119">
        <f>SUM(E110:E111)</f>
        <v>-90</v>
      </c>
      <c r="F112" s="119">
        <f t="shared" ref="F112:G112" si="13">SUM(F110:F111)</f>
        <v>-90</v>
      </c>
      <c r="G112" s="119">
        <f t="shared" si="13"/>
        <v>-90</v>
      </c>
    </row>
    <row r="113" spans="2:10" outlineLevel="1" x14ac:dyDescent="0.25">
      <c r="C113" s="1"/>
      <c r="E113" s="83"/>
      <c r="F113" s="83"/>
      <c r="G113" s="83"/>
    </row>
    <row r="114" spans="2:10" ht="14.45" customHeight="1" outlineLevel="1" x14ac:dyDescent="0.25">
      <c r="B114" s="3" t="s">
        <v>272</v>
      </c>
      <c r="C114" s="3"/>
      <c r="D114" s="3"/>
      <c r="E114" s="3"/>
      <c r="F114" s="3"/>
      <c r="G114" s="3"/>
    </row>
    <row r="115" spans="2:10" outlineLevel="1" x14ac:dyDescent="0.25">
      <c r="C115" s="100" t="s">
        <v>273</v>
      </c>
      <c r="D115" s="76" t="s">
        <v>187</v>
      </c>
      <c r="E115" s="91">
        <v>-8</v>
      </c>
      <c r="F115" s="91">
        <v>-8</v>
      </c>
      <c r="G115" s="91">
        <v>-8</v>
      </c>
    </row>
    <row r="116" spans="2:10" ht="14.45" customHeight="1" outlineLevel="1" x14ac:dyDescent="0.25">
      <c r="C116" s="131" t="s">
        <v>274</v>
      </c>
      <c r="D116" s="98" t="s">
        <v>187</v>
      </c>
      <c r="E116" s="99">
        <v>0</v>
      </c>
      <c r="F116" s="99">
        <v>-25</v>
      </c>
      <c r="G116" s="99">
        <v>0</v>
      </c>
      <c r="J116" s="25" t="s">
        <v>275</v>
      </c>
    </row>
    <row r="117" spans="2:10" ht="14.45" customHeight="1" outlineLevel="1" x14ac:dyDescent="0.25">
      <c r="C117" s="100" t="s">
        <v>276</v>
      </c>
      <c r="D117" s="76" t="s">
        <v>187</v>
      </c>
      <c r="E117" s="91">
        <v>5</v>
      </c>
      <c r="F117" s="91">
        <v>5</v>
      </c>
      <c r="G117" s="91">
        <v>5</v>
      </c>
    </row>
    <row r="118" spans="2:10" ht="14.45" customHeight="1" outlineLevel="1" x14ac:dyDescent="0.25">
      <c r="C118" s="132" t="s">
        <v>277</v>
      </c>
      <c r="D118" s="111" t="s">
        <v>187</v>
      </c>
      <c r="E118" s="116">
        <v>10</v>
      </c>
      <c r="F118" s="116">
        <v>10</v>
      </c>
      <c r="G118" s="116">
        <v>10</v>
      </c>
    </row>
    <row r="119" spans="2:10" outlineLevel="1" x14ac:dyDescent="0.25">
      <c r="C119" s="133" t="s">
        <v>278</v>
      </c>
      <c r="D119" s="98" t="s">
        <v>187</v>
      </c>
      <c r="E119" s="107">
        <f>SUM(E115:E118)</f>
        <v>7</v>
      </c>
      <c r="F119" s="107">
        <f t="shared" ref="F119:G119" si="14">SUM(F115:F118)</f>
        <v>-18</v>
      </c>
      <c r="G119" s="107">
        <f t="shared" si="14"/>
        <v>7</v>
      </c>
    </row>
    <row r="120" spans="2:10" outlineLevel="1" x14ac:dyDescent="0.25">
      <c r="C120" s="1"/>
      <c r="E120" s="83"/>
      <c r="F120" s="83"/>
      <c r="G120" s="83"/>
    </row>
    <row r="121" spans="2:10" outlineLevel="1" x14ac:dyDescent="0.25">
      <c r="C121" s="113" t="s">
        <v>279</v>
      </c>
      <c r="D121" s="76" t="s">
        <v>187</v>
      </c>
      <c r="E121" s="89">
        <f>+E107+E112+E119</f>
        <v>6</v>
      </c>
      <c r="F121" s="89">
        <f t="shared" ref="F121:G121" si="15">+F107+F112+F119</f>
        <v>6</v>
      </c>
      <c r="G121" s="89">
        <f t="shared" si="15"/>
        <v>6</v>
      </c>
      <c r="J121" s="25" t="s">
        <v>280</v>
      </c>
    </row>
    <row r="122" spans="2:10" outlineLevel="1" x14ac:dyDescent="0.25">
      <c r="C122" s="51" t="s">
        <v>281</v>
      </c>
      <c r="D122" s="111" t="s">
        <v>187</v>
      </c>
      <c r="E122" s="134">
        <v>194</v>
      </c>
      <c r="F122" s="134">
        <v>194</v>
      </c>
      <c r="G122" s="116">
        <v>194</v>
      </c>
      <c r="J122" s="25" t="s">
        <v>282</v>
      </c>
    </row>
    <row r="123" spans="2:10" outlineLevel="1" x14ac:dyDescent="0.25">
      <c r="C123" s="1" t="s">
        <v>283</v>
      </c>
      <c r="D123" s="76" t="s">
        <v>187</v>
      </c>
      <c r="E123" s="125">
        <f>SUM(E121:E122)</f>
        <v>200</v>
      </c>
      <c r="F123" s="125">
        <f>SUM(F121:F122)</f>
        <v>200</v>
      </c>
      <c r="G123" s="125">
        <f>SUM(G121:G122)</f>
        <v>200</v>
      </c>
    </row>
  </sheetData>
  <pageMargins left="0.7" right="0.7" top="0.75" bottom="0.75" header="0.3" footer="0.3"/>
  <pageSetup scale="49" orientation="portrait" horizontalDpi="200" verticalDpi="200" r:id="rId1"/>
  <rowBreaks count="3" manualBreakCount="3">
    <brk id="26" max="16383" man="1"/>
    <brk id="52" max="14" man="1"/>
    <brk id="92" max="14" man="1"/>
  </rowBreaks>
  <colBreaks count="1" manualBreakCount="1">
    <brk id="8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B1E3-8BCC-4092-A879-335508CEC2A9}">
  <sheetPr>
    <pageSetUpPr autoPageBreaks="0"/>
  </sheetPr>
  <dimension ref="B2:N66"/>
  <sheetViews>
    <sheetView showGridLines="0" topLeftCell="A34" zoomScaleNormal="100" workbookViewId="0">
      <selection activeCell="M42" sqref="M42"/>
    </sheetView>
  </sheetViews>
  <sheetFormatPr defaultRowHeight="15.75" x14ac:dyDescent="0.25"/>
  <cols>
    <col min="1" max="2" width="2.7109375" style="25" customWidth="1"/>
    <col min="3" max="5" width="15.7109375" style="25" customWidth="1"/>
    <col min="6" max="6" width="18.7109375" style="25" customWidth="1"/>
    <col min="7" max="8" width="2.7109375" style="25" customWidth="1"/>
    <col min="9" max="13" width="14.7109375" style="25" customWidth="1"/>
    <col min="14" max="15" width="2.7109375" style="25" customWidth="1"/>
    <col min="16" max="16384" width="9.140625" style="25"/>
  </cols>
  <sheetData>
    <row r="2" spans="2:14" ht="18.75" x14ac:dyDescent="0.3">
      <c r="B2" s="14" t="str">
        <f>Company_Name&amp;" - Equity Value and Enterprise Value"</f>
        <v>Vivendi SA - Equity Value and Enterprise Value</v>
      </c>
    </row>
    <row r="3" spans="2:14" x14ac:dyDescent="0.25">
      <c r="B3" s="25" t="s">
        <v>98</v>
      </c>
    </row>
    <row r="5" spans="2:14" x14ac:dyDescent="0.25">
      <c r="B5" s="3" t="str">
        <f>Company_Name&amp;" - Equity Value Calculation:"</f>
        <v>Vivendi SA - Equity Value Calculation:</v>
      </c>
      <c r="C5" s="26"/>
      <c r="D5" s="26"/>
      <c r="E5" s="26"/>
      <c r="F5" s="26"/>
      <c r="H5" s="3" t="s">
        <v>99</v>
      </c>
      <c r="I5" s="26"/>
      <c r="J5" s="26"/>
      <c r="K5" s="26"/>
      <c r="L5" s="26"/>
      <c r="M5" s="26"/>
    </row>
    <row r="6" spans="2:14" x14ac:dyDescent="0.25">
      <c r="B6" s="1"/>
    </row>
    <row r="7" spans="2:14" x14ac:dyDescent="0.25">
      <c r="B7" s="1"/>
      <c r="C7" s="25" t="s">
        <v>100</v>
      </c>
      <c r="F7" s="27" t="s">
        <v>101</v>
      </c>
      <c r="I7" s="1" t="s">
        <v>102</v>
      </c>
    </row>
    <row r="8" spans="2:14" x14ac:dyDescent="0.25">
      <c r="C8" s="25" t="s">
        <v>103</v>
      </c>
      <c r="F8" s="27" t="s">
        <v>104</v>
      </c>
      <c r="I8" s="1"/>
    </row>
    <row r="9" spans="2:14" x14ac:dyDescent="0.25">
      <c r="C9" s="25" t="s">
        <v>105</v>
      </c>
      <c r="F9" s="28">
        <v>43910</v>
      </c>
      <c r="I9" s="29"/>
      <c r="J9" s="29"/>
      <c r="K9" s="30" t="s">
        <v>106</v>
      </c>
      <c r="L9" s="30" t="s">
        <v>107</v>
      </c>
      <c r="M9" s="29"/>
      <c r="N9" s="31"/>
    </row>
    <row r="10" spans="2:14" x14ac:dyDescent="0.25">
      <c r="C10" s="25" t="s">
        <v>108</v>
      </c>
      <c r="F10" s="32">
        <v>19.36</v>
      </c>
      <c r="I10" s="33" t="s">
        <v>109</v>
      </c>
      <c r="J10" s="26"/>
      <c r="K10" s="33" t="s">
        <v>110</v>
      </c>
      <c r="L10" s="33" t="s">
        <v>111</v>
      </c>
      <c r="M10" s="33" t="s">
        <v>112</v>
      </c>
    </row>
    <row r="11" spans="2:14" x14ac:dyDescent="0.25">
      <c r="C11" s="25" t="s">
        <v>113</v>
      </c>
      <c r="F11" s="34">
        <v>1170.5999999999999</v>
      </c>
      <c r="I11" s="35" t="s">
        <v>114</v>
      </c>
      <c r="K11" s="36">
        <v>0.80100000000000005</v>
      </c>
      <c r="L11" s="37">
        <v>11.9</v>
      </c>
      <c r="M11" s="38">
        <f>IF(L11&gt;Share_Price,0,K11-K11*L11/Share_Price)</f>
        <v>0.30864979338842979</v>
      </c>
    </row>
    <row r="12" spans="2:14" x14ac:dyDescent="0.25">
      <c r="C12" s="25" t="s">
        <v>115</v>
      </c>
      <c r="F12" s="39">
        <f>Basic_Shares+M16+M23+M31</f>
        <v>1171.2505568181816</v>
      </c>
      <c r="I12" s="35" t="s">
        <v>116</v>
      </c>
      <c r="K12" s="40">
        <v>1.21</v>
      </c>
      <c r="L12" s="41">
        <v>15.8</v>
      </c>
      <c r="M12" s="38">
        <f>IF(L12&gt;Share_Price,0,K12-K12*L12/Share_Price)</f>
        <v>0.22250000000000003</v>
      </c>
    </row>
    <row r="13" spans="2:14" x14ac:dyDescent="0.25">
      <c r="C13" s="25" t="s">
        <v>117</v>
      </c>
      <c r="F13" s="42">
        <v>0.24</v>
      </c>
      <c r="I13" s="35" t="s">
        <v>118</v>
      </c>
      <c r="K13" s="40">
        <v>1.4E-2</v>
      </c>
      <c r="L13" s="41">
        <v>16.7</v>
      </c>
      <c r="M13" s="38">
        <f>IF(L13&gt;Share_Price,0,K13-K13*L13/Share_Price)</f>
        <v>1.9235537190082641E-3</v>
      </c>
    </row>
    <row r="14" spans="2:14" x14ac:dyDescent="0.25">
      <c r="I14" s="35" t="s">
        <v>119</v>
      </c>
      <c r="K14" s="40">
        <v>1.0529999999999999</v>
      </c>
      <c r="L14" s="41">
        <v>17.2</v>
      </c>
      <c r="M14" s="38">
        <f>IF(L14&gt;Share_Price,0,K14-K14*L14/Share_Price)</f>
        <v>0.11748347107438006</v>
      </c>
    </row>
    <row r="15" spans="2:14" x14ac:dyDescent="0.25">
      <c r="C15" s="1" t="s">
        <v>120</v>
      </c>
      <c r="F15" s="43">
        <f>Share_Price*Basic_Shares</f>
        <v>22662.815999999999</v>
      </c>
      <c r="I15" s="35" t="s">
        <v>121</v>
      </c>
      <c r="K15" s="40">
        <v>0</v>
      </c>
      <c r="L15" s="41">
        <v>0</v>
      </c>
      <c r="M15" s="38">
        <f>IF(L15&gt;Share_Price,0,K15-K15*L15/Share_Price)</f>
        <v>0</v>
      </c>
    </row>
    <row r="16" spans="2:14" x14ac:dyDescent="0.25">
      <c r="I16" s="44" t="s">
        <v>122</v>
      </c>
      <c r="J16" s="45"/>
      <c r="K16" s="46">
        <f>SUM(K11:K15)</f>
        <v>3.0779999999999998</v>
      </c>
      <c r="L16" s="45"/>
      <c r="M16" s="46">
        <f>SUM(M11:M15)</f>
        <v>0.6505568181818181</v>
      </c>
    </row>
    <row r="17" spans="3:14" x14ac:dyDescent="0.25">
      <c r="C17" s="1" t="s">
        <v>123</v>
      </c>
      <c r="F17" s="43">
        <f>Share_Price*Diluted_Shares</f>
        <v>22675.410779999995</v>
      </c>
      <c r="I17" s="35"/>
      <c r="K17" s="40"/>
      <c r="L17" s="47"/>
      <c r="M17" s="38"/>
    </row>
    <row r="18" spans="3:14" x14ac:dyDescent="0.25">
      <c r="C18" s="35" t="s">
        <v>124</v>
      </c>
      <c r="F18" s="48">
        <v>-2130</v>
      </c>
      <c r="I18" s="1" t="s">
        <v>125</v>
      </c>
    </row>
    <row r="19" spans="3:14" x14ac:dyDescent="0.25">
      <c r="C19" s="35" t="s">
        <v>126</v>
      </c>
      <c r="F19" s="49">
        <f>-2263-255</f>
        <v>-2518</v>
      </c>
      <c r="I19" s="1"/>
    </row>
    <row r="20" spans="3:14" x14ac:dyDescent="0.25">
      <c r="C20" s="35" t="s">
        <v>127</v>
      </c>
      <c r="F20" s="48">
        <v>-3520</v>
      </c>
      <c r="I20" s="29"/>
      <c r="J20" s="29"/>
      <c r="K20" s="30" t="s">
        <v>106</v>
      </c>
      <c r="L20" s="30" t="s">
        <v>107</v>
      </c>
      <c r="M20" s="29"/>
    </row>
    <row r="21" spans="3:14" x14ac:dyDescent="0.25">
      <c r="C21" s="35" t="s">
        <v>128</v>
      </c>
      <c r="F21" s="48">
        <v>0</v>
      </c>
      <c r="I21" s="33" t="s">
        <v>109</v>
      </c>
      <c r="J21" s="26"/>
      <c r="K21" s="33" t="s">
        <v>110</v>
      </c>
      <c r="L21" s="33" t="s">
        <v>111</v>
      </c>
      <c r="M21" s="33" t="s">
        <v>112</v>
      </c>
    </row>
    <row r="22" spans="3:14" x14ac:dyDescent="0.25">
      <c r="C22" s="35" t="s">
        <v>129</v>
      </c>
      <c r="F22" s="48">
        <v>0</v>
      </c>
      <c r="I22" s="35" t="s">
        <v>125</v>
      </c>
      <c r="K22" s="40">
        <v>0</v>
      </c>
      <c r="L22" s="41"/>
      <c r="M22" s="38">
        <f>K22</f>
        <v>0</v>
      </c>
    </row>
    <row r="23" spans="3:14" x14ac:dyDescent="0.25">
      <c r="C23" s="35" t="s">
        <v>130</v>
      </c>
      <c r="F23" s="49">
        <f>5160+1777+(6512-6398)</f>
        <v>7051</v>
      </c>
      <c r="I23" s="44" t="s">
        <v>122</v>
      </c>
      <c r="J23" s="45"/>
      <c r="K23" s="46">
        <f>SUM(K22:K22)</f>
        <v>0</v>
      </c>
      <c r="L23" s="46"/>
      <c r="M23" s="46">
        <f>SUM(M22:M22)</f>
        <v>0</v>
      </c>
    </row>
    <row r="24" spans="3:14" x14ac:dyDescent="0.25">
      <c r="C24" s="35" t="s">
        <v>131</v>
      </c>
      <c r="F24" s="48">
        <v>0</v>
      </c>
      <c r="I24" s="1"/>
      <c r="K24" s="50"/>
      <c r="L24" s="50"/>
      <c r="M24" s="50"/>
    </row>
    <row r="25" spans="3:14" x14ac:dyDescent="0.25">
      <c r="C25" s="35" t="s">
        <v>132</v>
      </c>
      <c r="F25" s="49">
        <f>1223+236</f>
        <v>1459</v>
      </c>
    </row>
    <row r="26" spans="3:14" x14ac:dyDescent="0.25">
      <c r="C26" s="35" t="s">
        <v>133</v>
      </c>
      <c r="F26" s="48">
        <v>222</v>
      </c>
      <c r="I26" s="1" t="s">
        <v>134</v>
      </c>
    </row>
    <row r="27" spans="3:14" x14ac:dyDescent="0.25">
      <c r="C27" s="35" t="s">
        <v>135</v>
      </c>
      <c r="F27" s="48">
        <v>807</v>
      </c>
      <c r="N27" s="50">
        <f>SUM(M22:M30)</f>
        <v>0</v>
      </c>
    </row>
    <row r="28" spans="3:14" x14ac:dyDescent="0.25">
      <c r="C28" s="51" t="s">
        <v>136</v>
      </c>
      <c r="D28" s="52"/>
      <c r="E28" s="52"/>
      <c r="F28" s="53">
        <v>0</v>
      </c>
      <c r="I28" s="29"/>
      <c r="J28" s="29"/>
      <c r="K28" s="30" t="s">
        <v>106</v>
      </c>
      <c r="L28" s="30" t="s">
        <v>107</v>
      </c>
      <c r="M28" s="29"/>
    </row>
    <row r="29" spans="3:14" x14ac:dyDescent="0.25">
      <c r="C29" s="1" t="s">
        <v>137</v>
      </c>
      <c r="F29" s="54">
        <f>SUM(F17:F28)</f>
        <v>24046.410779999995</v>
      </c>
      <c r="I29" s="33" t="s">
        <v>109</v>
      </c>
      <c r="J29" s="26"/>
      <c r="K29" s="33" t="s">
        <v>110</v>
      </c>
      <c r="L29" s="33" t="s">
        <v>111</v>
      </c>
      <c r="M29" s="33" t="s">
        <v>112</v>
      </c>
    </row>
    <row r="30" spans="3:14" x14ac:dyDescent="0.25">
      <c r="I30" s="35" t="s">
        <v>138</v>
      </c>
      <c r="K30" s="40"/>
      <c r="L30" s="41"/>
      <c r="M30" s="55"/>
    </row>
    <row r="31" spans="3:14" x14ac:dyDescent="0.25">
      <c r="I31" s="44" t="s">
        <v>122</v>
      </c>
      <c r="J31" s="45"/>
      <c r="K31" s="46">
        <f>SUM(K30:K30)</f>
        <v>0</v>
      </c>
      <c r="L31" s="45"/>
      <c r="M31" s="46">
        <f>SUM(M30:M30)</f>
        <v>0</v>
      </c>
    </row>
    <row r="33" spans="2:13" x14ac:dyDescent="0.25">
      <c r="B33" s="3" t="s">
        <v>139</v>
      </c>
      <c r="C33" s="26"/>
      <c r="D33" s="26"/>
      <c r="E33" s="26"/>
      <c r="F33" s="26"/>
      <c r="H33" s="3" t="s">
        <v>140</v>
      </c>
      <c r="I33" s="26"/>
      <c r="J33" s="26"/>
      <c r="K33" s="26"/>
      <c r="L33" s="26"/>
      <c r="M33" s="26"/>
    </row>
    <row r="35" spans="2:13" x14ac:dyDescent="0.25">
      <c r="C35" s="1" t="s">
        <v>141</v>
      </c>
      <c r="F35" s="56">
        <v>15898</v>
      </c>
      <c r="I35" s="25" t="s">
        <v>6</v>
      </c>
      <c r="M35" s="57">
        <f>1268-46-43-220</f>
        <v>959</v>
      </c>
    </row>
    <row r="36" spans="2:13" x14ac:dyDescent="0.25">
      <c r="I36" s="35" t="s">
        <v>142</v>
      </c>
      <c r="L36" s="58"/>
      <c r="M36" s="48">
        <v>-413</v>
      </c>
    </row>
    <row r="37" spans="2:13" x14ac:dyDescent="0.25">
      <c r="C37" s="25" t="s">
        <v>143</v>
      </c>
      <c r="F37" s="48">
        <v>1381</v>
      </c>
      <c r="I37" s="44" t="s">
        <v>144</v>
      </c>
      <c r="J37" s="45"/>
      <c r="K37" s="45"/>
      <c r="M37" s="59">
        <f>SUM(M35:M36)</f>
        <v>546</v>
      </c>
    </row>
    <row r="38" spans="2:13" x14ac:dyDescent="0.25">
      <c r="C38" s="35" t="s">
        <v>145</v>
      </c>
      <c r="F38" s="53">
        <v>0</v>
      </c>
    </row>
    <row r="39" spans="2:13" x14ac:dyDescent="0.25">
      <c r="C39" s="44" t="s">
        <v>146</v>
      </c>
      <c r="D39" s="45"/>
      <c r="E39" s="45"/>
      <c r="F39" s="59">
        <f>SUM(F37:F38)</f>
        <v>1381</v>
      </c>
      <c r="I39" s="1" t="s">
        <v>146</v>
      </c>
      <c r="M39" s="60">
        <f>F39</f>
        <v>1381</v>
      </c>
    </row>
    <row r="40" spans="2:13" x14ac:dyDescent="0.25">
      <c r="C40" s="35" t="s">
        <v>147</v>
      </c>
      <c r="F40" s="61">
        <f>239+220+140+125</f>
        <v>724</v>
      </c>
      <c r="I40" s="35" t="s">
        <v>148</v>
      </c>
      <c r="L40" s="58"/>
      <c r="M40" s="53">
        <v>-43</v>
      </c>
    </row>
    <row r="41" spans="2:13" x14ac:dyDescent="0.25">
      <c r="C41" s="44" t="s">
        <v>149</v>
      </c>
      <c r="D41" s="45"/>
      <c r="E41" s="45"/>
      <c r="F41" s="59">
        <f>SUM(F39:F40)</f>
        <v>2105</v>
      </c>
      <c r="I41" s="44" t="s">
        <v>150</v>
      </c>
      <c r="J41" s="45"/>
      <c r="K41" s="45"/>
      <c r="M41" s="60">
        <f>SUM(M39:M40)*(1-Tax_Rate)</f>
        <v>1016.88</v>
      </c>
    </row>
    <row r="42" spans="2:13" x14ac:dyDescent="0.25">
      <c r="C42" s="35" t="s">
        <v>151</v>
      </c>
      <c r="F42" s="48">
        <v>0</v>
      </c>
      <c r="I42" s="35" t="s">
        <v>152</v>
      </c>
      <c r="M42" s="49">
        <f>239+140+125</f>
        <v>504</v>
      </c>
    </row>
    <row r="43" spans="2:13" x14ac:dyDescent="0.25">
      <c r="C43" s="35" t="s">
        <v>153</v>
      </c>
      <c r="F43" s="53">
        <v>0</v>
      </c>
      <c r="I43" s="35" t="s">
        <v>154</v>
      </c>
      <c r="M43" s="49">
        <f>-283-140</f>
        <v>-423</v>
      </c>
    </row>
    <row r="44" spans="2:13" x14ac:dyDescent="0.25">
      <c r="C44" s="44" t="s">
        <v>155</v>
      </c>
      <c r="D44" s="45"/>
      <c r="E44" s="45"/>
      <c r="F44" s="59">
        <f>SUM(F41:F43)</f>
        <v>2105</v>
      </c>
      <c r="I44" s="35" t="s">
        <v>156</v>
      </c>
      <c r="M44" s="49">
        <f>-676+67+30</f>
        <v>-579</v>
      </c>
    </row>
    <row r="45" spans="2:13" x14ac:dyDescent="0.25">
      <c r="I45" s="35" t="str">
        <f>$I$36</f>
        <v>(-) Capital Expenditures:</v>
      </c>
      <c r="L45" s="52"/>
      <c r="M45" s="62">
        <f>$M$36</f>
        <v>-413</v>
      </c>
    </row>
    <row r="46" spans="2:13" x14ac:dyDescent="0.25">
      <c r="C46" s="1" t="s">
        <v>157</v>
      </c>
      <c r="F46" s="56">
        <v>1583</v>
      </c>
      <c r="I46" s="44" t="s">
        <v>158</v>
      </c>
      <c r="J46" s="45"/>
      <c r="K46" s="45"/>
      <c r="M46" s="59">
        <f>SUM(M41:M45)</f>
        <v>105.88000000000011</v>
      </c>
    </row>
    <row r="48" spans="2:13" x14ac:dyDescent="0.25">
      <c r="B48" s="3" t="s">
        <v>159</v>
      </c>
      <c r="C48" s="26"/>
      <c r="D48" s="26"/>
      <c r="E48" s="26"/>
      <c r="F48" s="26"/>
      <c r="I48" s="1" t="s">
        <v>160</v>
      </c>
      <c r="M48" s="60">
        <f>F46</f>
        <v>1583</v>
      </c>
    </row>
    <row r="49" spans="3:13" x14ac:dyDescent="0.25">
      <c r="I49" s="35" t="str">
        <f>$I$42</f>
        <v>(+) D&amp;A Excluding Lease D&amp;A:</v>
      </c>
      <c r="M49" s="62">
        <f>$M$42</f>
        <v>504</v>
      </c>
    </row>
    <row r="50" spans="3:13" x14ac:dyDescent="0.25">
      <c r="C50" s="1" t="s">
        <v>161</v>
      </c>
      <c r="D50" s="1"/>
      <c r="E50" s="1"/>
      <c r="F50" s="54">
        <f>F17</f>
        <v>22675.410779999995</v>
      </c>
      <c r="I50" s="35" t="str">
        <f>$I$43</f>
        <v>(+/-) Deferred Income Taxes:</v>
      </c>
      <c r="M50" s="62">
        <f>$M$43</f>
        <v>-423</v>
      </c>
    </row>
    <row r="51" spans="3:13" x14ac:dyDescent="0.25">
      <c r="I51" s="35" t="str">
        <f>$I$44</f>
        <v>(+/-) Change in Working Capital:</v>
      </c>
      <c r="M51" s="62">
        <f>$M$44</f>
        <v>-579</v>
      </c>
    </row>
    <row r="52" spans="3:13" x14ac:dyDescent="0.25">
      <c r="C52" s="1" t="s">
        <v>162</v>
      </c>
      <c r="D52" s="1"/>
      <c r="E52" s="1"/>
      <c r="F52" s="60">
        <f>F54-F53</f>
        <v>22587.410779999995</v>
      </c>
      <c r="I52" s="35" t="str">
        <f>$I$45</f>
        <v>(-) Capital Expenditures:</v>
      </c>
      <c r="M52" s="62">
        <f>$M$45</f>
        <v>-413</v>
      </c>
    </row>
    <row r="53" spans="3:13" x14ac:dyDescent="0.25">
      <c r="C53" s="35" t="s">
        <v>163</v>
      </c>
      <c r="F53" s="49">
        <f>F25</f>
        <v>1459</v>
      </c>
      <c r="I53" s="35" t="s">
        <v>164</v>
      </c>
      <c r="M53" s="49">
        <f>-6-787</f>
        <v>-793</v>
      </c>
    </row>
    <row r="54" spans="3:13" x14ac:dyDescent="0.25">
      <c r="C54" s="44" t="s">
        <v>165</v>
      </c>
      <c r="D54" s="44"/>
      <c r="E54" s="44"/>
      <c r="F54" s="59">
        <f>F29</f>
        <v>24046.410779999995</v>
      </c>
      <c r="I54" s="35" t="s">
        <v>166</v>
      </c>
      <c r="L54" s="58"/>
      <c r="M54" s="63">
        <f>2101+870</f>
        <v>2971</v>
      </c>
    </row>
    <row r="55" spans="3:13" x14ac:dyDescent="0.25">
      <c r="I55" s="44" t="s">
        <v>167</v>
      </c>
      <c r="J55" s="45"/>
      <c r="K55" s="45"/>
      <c r="M55" s="54">
        <f>SUM(M48:M54)</f>
        <v>2850</v>
      </c>
    </row>
    <row r="56" spans="3:13" x14ac:dyDescent="0.25">
      <c r="C56" s="25" t="s">
        <v>168</v>
      </c>
      <c r="F56" s="64">
        <f>F54/F35</f>
        <v>1.5125431362435524</v>
      </c>
    </row>
    <row r="57" spans="3:13" x14ac:dyDescent="0.25">
      <c r="F57" s="64"/>
    </row>
    <row r="58" spans="3:13" x14ac:dyDescent="0.25">
      <c r="C58" s="25" t="s">
        <v>169</v>
      </c>
      <c r="F58" s="64" t="s">
        <v>170</v>
      </c>
    </row>
    <row r="59" spans="3:13" x14ac:dyDescent="0.25">
      <c r="C59" s="25" t="s">
        <v>171</v>
      </c>
      <c r="F59" s="64">
        <f>F54/F41</f>
        <v>11.423473054631826</v>
      </c>
    </row>
    <row r="60" spans="3:13" x14ac:dyDescent="0.25">
      <c r="C60" s="25" t="s">
        <v>172</v>
      </c>
      <c r="F60" s="64">
        <f>F54/F44</f>
        <v>11.423473054631826</v>
      </c>
    </row>
    <row r="61" spans="3:13" x14ac:dyDescent="0.25">
      <c r="F61" s="64"/>
    </row>
    <row r="62" spans="3:13" x14ac:dyDescent="0.25">
      <c r="C62" s="25" t="s">
        <v>173</v>
      </c>
      <c r="F62" s="64">
        <f>F50/F46</f>
        <v>14.324327719519896</v>
      </c>
    </row>
    <row r="63" spans="3:13" x14ac:dyDescent="0.25">
      <c r="F63" s="64"/>
    </row>
    <row r="64" spans="3:13" x14ac:dyDescent="0.25">
      <c r="C64" s="25" t="s">
        <v>174</v>
      </c>
      <c r="F64" s="64">
        <f>F50/M37</f>
        <v>41.530056373626365</v>
      </c>
    </row>
    <row r="65" spans="3:6" x14ac:dyDescent="0.25">
      <c r="C65" s="25" t="s">
        <v>175</v>
      </c>
      <c r="F65" s="64">
        <f>F52/M46</f>
        <v>213.33028692859816</v>
      </c>
    </row>
    <row r="66" spans="3:6" x14ac:dyDescent="0.25">
      <c r="C66" s="25" t="s">
        <v>176</v>
      </c>
      <c r="F66" s="64">
        <f>F50/M55</f>
        <v>7.9562844842105243</v>
      </c>
    </row>
  </sheetData>
  <pageMargins left="0.7" right="0.7" top="0.75" bottom="0.75" header="0.3" footer="0.3"/>
  <pageSetup scale="4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IFRS_CFS</vt:lpstr>
      <vt:lpstr>Leases</vt:lpstr>
      <vt:lpstr>VIV</vt:lpstr>
      <vt:lpstr>Basic_Shares</vt:lpstr>
      <vt:lpstr>Company_Name</vt:lpstr>
      <vt:lpstr>Diluted_Shares</vt:lpstr>
      <vt:lpstr>IFRS_CFS!Print_Area</vt:lpstr>
      <vt:lpstr>Leases!Print_Area</vt:lpstr>
      <vt:lpstr>VIV!Print_Area</vt:lpstr>
      <vt:lpstr>Leases!Share_Price</vt:lpstr>
      <vt:lpstr>Share_Price</vt:lpstr>
      <vt:lpstr>Shares</vt:lpstr>
      <vt:lpstr>VIV!Tax_Rate</vt:lpstr>
      <vt:lpstr>Tax_Rate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dcterms:created xsi:type="dcterms:W3CDTF">2014-03-23T05:39:11Z</dcterms:created>
  <dcterms:modified xsi:type="dcterms:W3CDTF">2020-11-23T17:34:33Z</dcterms:modified>
</cp:coreProperties>
</file>