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269E4B7A-481C-4E28-85BF-D8800E4D6D8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ML" sheetId="4" r:id="rId1"/>
    <sheet name="Pension_Acct" sheetId="6" r:id="rId2"/>
  </sheets>
  <externalReferences>
    <externalReference r:id="rId3"/>
  </externalReferences>
  <definedNames>
    <definedName name="Basic_Shares" localSheetId="0">ML!$F$15</definedName>
    <definedName name="Basic_Shares">[1]VIV!$F$11</definedName>
    <definedName name="CIQWBGuid" hidden="1">"fedf60f8-2cd9-49ba-9fee-91fc372c3a0f"</definedName>
    <definedName name="Company_Name" localSheetId="0">ML!$F$9</definedName>
    <definedName name="Company_Name">[1]VIV!$F$7</definedName>
    <definedName name="Diluted_Shares" localSheetId="0">ML!$F$16</definedName>
    <definedName name="Diluted_Shares">[1]VIV!$F$12</definedName>
    <definedName name="Initial_Cash">[1]Eq_Val_Ent_Value_Changes!$F$11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"08/30/2015 13:55:30"</definedName>
    <definedName name="IQ_QTD" hidden="1">750000</definedName>
    <definedName name="IQ_TODAY" hidden="1">0</definedName>
    <definedName name="IQ_YTDMONTH" hidden="1">130000</definedName>
    <definedName name="Last_FY">ML!$F$11</definedName>
    <definedName name="NOL_Pct_DTA">[1]Eq_Val_Ent_Value_Changes!$F$13</definedName>
    <definedName name="_xlnm.Print_Area" localSheetId="0">ML!$A$1:$N$65</definedName>
    <definedName name="_xlnm.Print_Area" localSheetId="1">Pension_Acct!$A$1:$N$104</definedName>
    <definedName name="Share_Price" localSheetId="0">ML!$F$14</definedName>
    <definedName name="Share_Price">[1]VIV!$F$10</definedName>
    <definedName name="Shares_Outstanding">[1]Eq_Val_Ent_Value_Changes!$F$10</definedName>
    <definedName name="Tax_Rate" localSheetId="0">ML!$F$17</definedName>
    <definedName name="Tax_Rate">[1]Eq_Val_Ent_Value_Changes!$F$7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4" l="1"/>
  <c r="F31" i="4"/>
  <c r="G102" i="6" l="1"/>
  <c r="F102" i="6"/>
  <c r="G79" i="6"/>
  <c r="F79" i="6"/>
  <c r="G78" i="6"/>
  <c r="G84" i="6" s="1"/>
  <c r="G101" i="6" s="1"/>
  <c r="G103" i="6" s="1"/>
  <c r="F78" i="6"/>
  <c r="F84" i="6" s="1"/>
  <c r="F101" i="6" s="1"/>
  <c r="F103" i="6" s="1"/>
  <c r="F50" i="6"/>
  <c r="L49" i="6"/>
  <c r="F48" i="6"/>
  <c r="F52" i="6" s="1"/>
  <c r="M43" i="6"/>
  <c r="M49" i="6" s="1"/>
  <c r="G43" i="6"/>
  <c r="G50" i="6" s="1"/>
  <c r="F24" i="6"/>
  <c r="F17" i="6"/>
  <c r="F26" i="6" s="1"/>
  <c r="F56" i="4" a="1"/>
  <c r="F56" i="4"/>
  <c r="F36" i="4" a="1"/>
  <c r="F36" i="4"/>
  <c r="G48" i="6" l="1"/>
  <c r="G52" i="6" s="1"/>
  <c r="F28" i="4"/>
  <c r="F45" i="4" l="1"/>
  <c r="F43" i="4" l="1"/>
  <c r="F40" i="4" l="1"/>
  <c r="F42" i="4" s="1"/>
  <c r="F52" i="4" s="1"/>
  <c r="F20" i="4"/>
  <c r="F33" i="4"/>
  <c r="F24" i="4"/>
  <c r="F44" i="4" l="1"/>
  <c r="F48" i="4" s="1"/>
  <c r="B2" i="4"/>
  <c r="E56" i="4" l="1"/>
  <c r="E36" i="4"/>
  <c r="M21" i="4"/>
  <c r="M20" i="4"/>
  <c r="M13" i="4"/>
  <c r="M14" i="4" s="1"/>
  <c r="M22" i="4" l="1"/>
  <c r="F16" i="4" s="1"/>
  <c r="F22" i="4" s="1"/>
  <c r="F64" i="4" l="1"/>
  <c r="F32" i="4"/>
  <c r="F34" i="4" s="1"/>
  <c r="F60" i="4" l="1"/>
  <c r="F62" i="4"/>
  <c r="F58" i="4"/>
  <c r="F6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41" authorId="0" shapeId="0" xr:uid="{E56F37EC-FF73-4F24-9924-FC3E75FC78B6}">
      <text>
        <r>
          <rPr>
            <b/>
            <sz val="9"/>
            <color indexed="81"/>
            <rFont val="Tahoma"/>
            <family val="2"/>
          </rPr>
          <t>BIWS:</t>
        </r>
        <r>
          <rPr>
            <sz val="9"/>
            <color indexed="81"/>
            <rFont val="Tahoma"/>
            <family val="2"/>
          </rPr>
          <t xml:space="preserve">
Impairments. Financial components of pension expense as well.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<sst xmlns="http://schemas.openxmlformats.org/spreadsheetml/2006/main" count="208" uniqueCount="158">
  <si>
    <t>Current Share Price:</t>
  </si>
  <si>
    <t>Valuation Date:</t>
  </si>
  <si>
    <t>Exercise</t>
  </si>
  <si>
    <t>Number</t>
  </si>
  <si>
    <t>(Millions):</t>
  </si>
  <si>
    <t>Total:</t>
  </si>
  <si>
    <t>Diluted Equity Value:</t>
  </si>
  <si>
    <t>Price:</t>
  </si>
  <si>
    <t>Dilution:</t>
  </si>
  <si>
    <t>Name:</t>
  </si>
  <si>
    <t>Diluted Shares Calculations:</t>
  </si>
  <si>
    <t>Options - Treasury Stock Method:</t>
  </si>
  <si>
    <t>Basic Equity Value:</t>
  </si>
  <si>
    <t>Company Name:</t>
  </si>
  <si>
    <t>Ticker:</t>
  </si>
  <si>
    <t>Performance Share Units:</t>
  </si>
  <si>
    <t>(-) Cash &amp; Cash-Equivalents:</t>
  </si>
  <si>
    <t>(-) Financial Investments:</t>
  </si>
  <si>
    <t>(-) Equity Investments:</t>
  </si>
  <si>
    <t>(-) Other Non-Core Assets:</t>
  </si>
  <si>
    <t>(-) Net Operating Losses:</t>
  </si>
  <si>
    <t>(+) Total Debt:</t>
  </si>
  <si>
    <t>(+) Preferred Stock:</t>
  </si>
  <si>
    <t>(+) Noncontrolling Interests:</t>
  </si>
  <si>
    <t>(+) Unfunded Pensions:</t>
  </si>
  <si>
    <t>Effective Tax Rate:</t>
  </si>
  <si>
    <t>(+) Non-Recurring Charges:</t>
  </si>
  <si>
    <t>EBITDA:</t>
  </si>
  <si>
    <t>Revenue:</t>
  </si>
  <si>
    <t>Reported Net Income:</t>
  </si>
  <si>
    <t>Valuation Multiple Calculations:</t>
  </si>
  <si>
    <t>Name</t>
  </si>
  <si>
    <t>(-) Cost of Goods Sold (COGS):</t>
  </si>
  <si>
    <t>Operating Income (EBIT):</t>
  </si>
  <si>
    <t>(+) Depreciation &amp; Amortization:</t>
  </si>
  <si>
    <t>Other Dilutive Securities:</t>
  </si>
  <si>
    <t>Revenue Multiple:</t>
  </si>
  <si>
    <t>EBIT Multiple:</t>
  </si>
  <si>
    <t>EBITDA Multiple:</t>
  </si>
  <si>
    <t>P / E Multiple:</t>
  </si>
  <si>
    <t>Grant Date</t>
  </si>
  <si>
    <t>Fair Value:</t>
  </si>
  <si>
    <t>Units:</t>
  </si>
  <si>
    <t>Date</t>
  </si>
  <si>
    <t>Millions</t>
  </si>
  <si>
    <t>Basic Shares:</t>
  </si>
  <si>
    <t>Diluted Shares:</t>
  </si>
  <si>
    <t>%</t>
  </si>
  <si>
    <t>TEV Including All Leases:</t>
  </si>
  <si>
    <t>(-) Operating Expenses (OpEx):</t>
  </si>
  <si>
    <t>x</t>
  </si>
  <si>
    <t>Options:</t>
  </si>
  <si>
    <t>Restricted Stock Units (RSUs):</t>
  </si>
  <si>
    <t>Enterprise Value Calculations:</t>
  </si>
  <si>
    <t>Equity Value, Enterprise Value, and Valuation Multiples:</t>
  </si>
  <si>
    <t>Comparison Metrics:</t>
  </si>
  <si>
    <t>Pre-Lease Enterprise Value (TEV):</t>
  </si>
  <si>
    <t>(+) Total Lease Liabilities:</t>
  </si>
  <si>
    <t>EUR to USD FX Rate:</t>
  </si>
  <si>
    <t>€ M</t>
  </si>
  <si>
    <t>€ as Stated</t>
  </si>
  <si>
    <t>(€ in Millions EUR Except Per Share Data)</t>
  </si>
  <si>
    <t>Michelin SCA</t>
  </si>
  <si>
    <t>ENXTPA:ML</t>
  </si>
  <si>
    <t>(+) Rental Expense:</t>
  </si>
  <si>
    <t>(+/-) Other Items/Adjustments:</t>
  </si>
  <si>
    <t>(-) Sublease Income:</t>
  </si>
  <si>
    <t>EBITDAR:</t>
  </si>
  <si>
    <t>EBIT Excluding Full Lease Expense:</t>
  </si>
  <si>
    <t>EBITDAR Multiple:</t>
  </si>
  <si>
    <t>Last Fiscal Year End:</t>
  </si>
  <si>
    <t>(-) Lease Principal Repay. or D&amp;A:</t>
  </si>
  <si>
    <t>Quick Review of Pension Accounting</t>
  </si>
  <si>
    <t>Easy Case: "Defined Contribution Plans" such as the 401(k) in the U.S.</t>
  </si>
  <si>
    <t>Employees contribute a certain amount each week/month, and they pick the funds or investment options they want.</t>
  </si>
  <si>
    <t xml:space="preserve">Companies may also match their contributions up to 25%, 50%, 100%, etc. </t>
  </si>
  <si>
    <t>That's very easy to handle and reflect on the financial statements - it's just a simple expense item on the Income Statement:</t>
  </si>
  <si>
    <t>Income Statement:</t>
  </si>
  <si>
    <t>Cost of Goods Sold (COGS):</t>
  </si>
  <si>
    <t>Gross Profit:</t>
  </si>
  <si>
    <t>Operating Expenses:</t>
  </si>
  <si>
    <t>Sales &amp; Marketing:</t>
  </si>
  <si>
    <t>This type of plan creates no liability because it's not up to the company to</t>
  </si>
  <si>
    <t>Research &amp; Development:</t>
  </si>
  <si>
    <t xml:space="preserve">pay employees - employees invest their own funds out of their salaries, the company </t>
  </si>
  <si>
    <t>General &amp; Administrative:</t>
  </si>
  <si>
    <t>may match some or all of it, and all investment decisions are theirs.</t>
  </si>
  <si>
    <t>401(k) Matching Contributions:</t>
  </si>
  <si>
    <t>Total Operating Expenses:</t>
  </si>
  <si>
    <r>
      <t xml:space="preserve">There may be assets/liabilities created due to </t>
    </r>
    <r>
      <rPr>
        <i/>
        <sz val="12"/>
        <color theme="1"/>
        <rFont val="Calibri"/>
        <family val="2"/>
        <scheme val="minor"/>
      </rPr>
      <t>timing</t>
    </r>
    <r>
      <rPr>
        <sz val="12"/>
        <color theme="1"/>
        <rFont val="Calibri"/>
        <family val="2"/>
        <scheme val="minor"/>
      </rPr>
      <t xml:space="preserve"> differences in expense</t>
    </r>
  </si>
  <si>
    <t>recognition vs. cash payments, but nothing "long-term."</t>
  </si>
  <si>
    <t>This type of plan makes no impact on Enterprise Value, and it never factors into</t>
  </si>
  <si>
    <t>the Eq Val --&gt; TEV bridge.</t>
  </si>
  <si>
    <t>Harder Case: Defined-Benefit Plans</t>
  </si>
  <si>
    <t>These plans promise specific payments to employees in the future instead of leaving the investment decisions and savings up to employees.</t>
  </si>
  <si>
    <r>
      <rPr>
        <b/>
        <sz val="12"/>
        <color theme="1"/>
        <rFont val="Calibri"/>
        <family val="2"/>
        <scheme val="minor"/>
      </rPr>
      <t>Defined-Benefit Plans</t>
    </r>
    <r>
      <rPr>
        <sz val="12"/>
        <color theme="1"/>
        <rFont val="Calibri"/>
        <family val="2"/>
        <scheme val="minor"/>
      </rPr>
      <t xml:space="preserve"> are rare among newer companies, but they're fairly common among older/legacy companies in industries like retail and</t>
    </r>
  </si>
  <si>
    <r>
      <t xml:space="preserve">When a company sets aside funds, that creates </t>
    </r>
    <r>
      <rPr>
        <b/>
        <sz val="12"/>
        <color theme="1"/>
        <rFont val="Calibri"/>
        <family val="2"/>
        <scheme val="minor"/>
      </rPr>
      <t>Plan Assets</t>
    </r>
    <r>
      <rPr>
        <sz val="12"/>
        <color theme="1"/>
        <rFont val="Calibri"/>
        <family val="2"/>
        <scheme val="minor"/>
      </rPr>
      <t xml:space="preserve"> on the Assets side of the Balance Sheet, while the value of future payments owed</t>
    </r>
  </si>
  <si>
    <r>
      <t xml:space="preserve">is captured in the </t>
    </r>
    <r>
      <rPr>
        <b/>
        <sz val="12"/>
        <color theme="1"/>
        <rFont val="Calibri"/>
        <family val="2"/>
        <scheme val="minor"/>
      </rPr>
      <t>Projected Benefit Obligation (PBO)</t>
    </r>
    <r>
      <rPr>
        <sz val="12"/>
        <color theme="1"/>
        <rFont val="Calibri"/>
        <family val="2"/>
        <scheme val="minor"/>
      </rPr>
      <t xml:space="preserve"> on the other side.</t>
    </r>
  </si>
  <si>
    <t>Pension Plan Assets:</t>
  </si>
  <si>
    <t>Year 1</t>
  </si>
  <si>
    <t>Year 2</t>
  </si>
  <si>
    <t>Projected Benefit Liability:</t>
  </si>
  <si>
    <t>Beginning Plan Assets:</t>
  </si>
  <si>
    <t>Beginning Plan Liability:</t>
  </si>
  <si>
    <t>(+/-) Actual Return on Plan Assets:</t>
  </si>
  <si>
    <t>(+) Service Cost:</t>
  </si>
  <si>
    <t>(+) Employer Contributions:</t>
  </si>
  <si>
    <t>(+) Interest Cost:</t>
  </si>
  <si>
    <t>(+) Participant Contributions:</t>
  </si>
  <si>
    <t>(-) Actuarial Gain / (+) Loss:</t>
  </si>
  <si>
    <t>(-) Benefit Payments:</t>
  </si>
  <si>
    <t>Ending Plan Assets:</t>
  </si>
  <si>
    <t>Ending Plan Liability:</t>
  </si>
  <si>
    <t>Actual Return:</t>
  </si>
  <si>
    <t>Funded Status:</t>
  </si>
  <si>
    <t>Which Items Impact a Company's Pension Plan Assets and Liabilities?</t>
  </si>
  <si>
    <r>
      <t>Actual Return on Plan Assets:</t>
    </r>
    <r>
      <rPr>
        <sz val="12"/>
        <color theme="1"/>
        <rFont val="Calibri"/>
        <family val="2"/>
        <scheme val="minor"/>
      </rPr>
      <t xml:space="preserve"> Need to note this because there are also </t>
    </r>
    <r>
      <rPr>
        <i/>
        <sz val="12"/>
        <color theme="1"/>
        <rFont val="Calibri"/>
        <family val="2"/>
        <scheme val="minor"/>
      </rPr>
      <t>expected</t>
    </r>
    <r>
      <rPr>
        <sz val="12"/>
        <color theme="1"/>
        <rFont val="Calibri"/>
        <family val="2"/>
        <scheme val="minor"/>
      </rPr>
      <t xml:space="preserve"> returns when dealing with pensions, and we have to</t>
    </r>
  </si>
  <si>
    <t>distinguish between actual vs. expected numbers.</t>
  </si>
  <si>
    <r>
      <t>Employer and Participant Contributions:</t>
    </r>
    <r>
      <rPr>
        <sz val="12"/>
        <color theme="1"/>
        <rFont val="Calibri"/>
        <family val="2"/>
        <scheme val="minor"/>
      </rPr>
      <t xml:space="preserve"> If the company puts in extra money to fund its future pension payouts, the associated assets increase</t>
    </r>
  </si>
  <si>
    <t>because it has more money to fund these payouts in the future. "Participants" (employees) may also contribute in some cases.</t>
  </si>
  <si>
    <r>
      <t>Benefit Payments:</t>
    </r>
    <r>
      <rPr>
        <sz val="12"/>
        <color theme="1"/>
        <rFont val="Calibri"/>
        <family val="2"/>
        <scheme val="minor"/>
      </rPr>
      <t xml:space="preserve"> When actual cash payments are made to pensioners, both the Pension Plan Assets and Liabilities decrease by the same amount</t>
    </r>
  </si>
  <si>
    <t>(in theory… with pensions, accounting gets very weird).</t>
  </si>
  <si>
    <r>
      <t>Other Adjustments:</t>
    </r>
    <r>
      <rPr>
        <sz val="12"/>
        <color theme="1"/>
        <rFont val="Calibri"/>
        <family val="2"/>
        <scheme val="minor"/>
      </rPr>
      <t xml:space="preserve"> Wide variety - FX Rate Effects, Lawsuits, Plan Amendments, Termination, use your imagination…</t>
    </r>
  </si>
  <si>
    <r>
      <t>Service Cost:</t>
    </r>
    <r>
      <rPr>
        <sz val="12"/>
        <color theme="1"/>
        <rFont val="Calibri"/>
        <family val="2"/>
        <scheme val="minor"/>
      </rPr>
      <t xml:space="preserve"> This increases the Liability because it represents employees working additional time and accruing higher payouts in the future.</t>
    </r>
  </si>
  <si>
    <r>
      <t>Interest Cost:</t>
    </r>
    <r>
      <rPr>
        <sz val="12"/>
        <color theme="1"/>
        <rFont val="Calibri"/>
        <family val="2"/>
        <scheme val="minor"/>
      </rPr>
      <t xml:space="preserve"> Also increases the Liability because it represents the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change in the PV of future payouts as the payout date approaches.</t>
    </r>
  </si>
  <si>
    <r>
      <t>Actuarial Gains/Losses:</t>
    </r>
    <r>
      <rPr>
        <sz val="12"/>
        <color theme="1"/>
        <rFont val="Calibri"/>
        <family val="2"/>
        <scheme val="minor"/>
      </rPr>
      <t xml:space="preserve"> Could go either way; depends on changes to the plan, market performance, etc.</t>
    </r>
  </si>
  <si>
    <t>So What About the Pension Expense on the Income Statement?</t>
  </si>
  <si>
    <t>Income Statement Pension Expense:</t>
  </si>
  <si>
    <t>(-) Service Cost:</t>
  </si>
  <si>
    <t>&lt;-- Expense accrues as employees spend more time at the company.</t>
  </si>
  <si>
    <t>(-) Interest Cost:</t>
  </si>
  <si>
    <t>&lt;-- Liability accrues as more time passes.</t>
  </si>
  <si>
    <r>
      <rPr>
        <sz val="12"/>
        <color theme="1"/>
        <rFont val="Calibri"/>
        <family val="2"/>
        <scheme val="minor"/>
      </rPr>
      <t xml:space="preserve">(+) </t>
    </r>
    <r>
      <rPr>
        <i/>
        <sz val="12"/>
        <color theme="1"/>
        <rFont val="Calibri"/>
        <family val="2"/>
        <scheme val="minor"/>
      </rPr>
      <t>Expected</t>
    </r>
    <r>
      <rPr>
        <sz val="12"/>
        <color theme="1"/>
        <rFont val="Calibri"/>
        <family val="2"/>
        <scheme val="minor"/>
      </rPr>
      <t xml:space="preserve"> Return on Plan Assets:</t>
    </r>
  </si>
  <si>
    <t>(-) Amortization of Losses:</t>
  </si>
  <si>
    <t>&lt;-- Amortization of difference between actual vs. expected returns.</t>
  </si>
  <si>
    <t>(+) Amortization of Prior Service Costs:</t>
  </si>
  <si>
    <t>(-) Settlement Charges:</t>
  </si>
  <si>
    <t>&lt;-- Lawsuit settlements, special terminations and benefits, etc.</t>
  </si>
  <si>
    <t>Total Income Statement Expense:</t>
  </si>
  <si>
    <r>
      <t>Expected Return on Plan Assets:</t>
    </r>
    <r>
      <rPr>
        <sz val="12"/>
        <color theme="1"/>
        <rFont val="Calibri"/>
        <family val="2"/>
        <scheme val="minor"/>
      </rPr>
      <t xml:space="preserve"> Company estimates how much its investment strategies "should" return in a given time frame and then assumes</t>
    </r>
  </si>
  <si>
    <r>
      <t xml:space="preserve">that those returns </t>
    </r>
    <r>
      <rPr>
        <b/>
        <sz val="12"/>
        <color theme="1"/>
        <rFont val="Calibri"/>
        <family val="2"/>
        <scheme val="minor"/>
      </rPr>
      <t>reduce</t>
    </r>
    <r>
      <rPr>
        <sz val="12"/>
        <color theme="1"/>
        <rFont val="Calibri"/>
        <family val="2"/>
        <scheme val="minor"/>
      </rPr>
      <t xml:space="preserve"> its pension expense… since the returns will fund its future pension payouts.</t>
    </r>
  </si>
  <si>
    <r>
      <t>Small Problem:</t>
    </r>
    <r>
      <rPr>
        <sz val="12"/>
        <color theme="1"/>
        <rFont val="Calibri"/>
        <family val="2"/>
        <scheme val="minor"/>
      </rPr>
      <t xml:space="preserve"> "Expected" Returns of $246 and $248… vs. actuals of $729 and ($66).</t>
    </r>
  </si>
  <si>
    <r>
      <t>Accounting Shenanigans:</t>
    </r>
    <r>
      <rPr>
        <sz val="12"/>
        <color theme="1"/>
        <rFont val="Calibri"/>
        <family val="2"/>
        <scheme val="minor"/>
      </rPr>
      <t xml:space="preserve"> To get around the issue of returns being "volatile," companies can "smooth out" these investment returns by</t>
    </r>
  </si>
  <si>
    <t xml:space="preserve">saying, "OK, let's assume a certain rate of return each year… ideally close to the 'average' return each year… and then adjust for what we </t>
  </si>
  <si>
    <t>previously gained or lost by amortizing those gains and losses over time."</t>
  </si>
  <si>
    <t>So on the Income Statement, the company is listing nothing close to an actual CASH expense in most cases - and unlike Accounts Payable,</t>
  </si>
  <si>
    <t>Accrued Expenses, etc., it's not even based on historical prices paid - it's all based on "estimates" of "average returns."</t>
  </si>
  <si>
    <t>Cash Flow Statement Pension Items:</t>
  </si>
  <si>
    <t>Pension Expenses:</t>
  </si>
  <si>
    <t>&lt;-- Company should add back (most of) the IS expense for pensions…</t>
  </si>
  <si>
    <t>Pension Contributions:</t>
  </si>
  <si>
    <t>&lt;-- But then showing what they really spent right here.</t>
  </si>
  <si>
    <t>Net Cash Flow from Pensions:</t>
  </si>
  <si>
    <t>($ in Millions USD)</t>
  </si>
  <si>
    <r>
      <t xml:space="preserve">Looking at the </t>
    </r>
    <r>
      <rPr>
        <b/>
        <sz val="12"/>
        <color theme="1"/>
        <rFont val="Calibri"/>
        <family val="2"/>
        <scheme val="minor"/>
      </rPr>
      <t>Cash Flow Statement</t>
    </r>
    <r>
      <rPr>
        <sz val="12"/>
        <color theme="1"/>
        <rFont val="Calibri"/>
        <family val="2"/>
        <scheme val="minor"/>
      </rPr>
      <t xml:space="preserve"> is the only way to tell how a company's Cash position changes as a result of Pensions:</t>
    </r>
  </si>
  <si>
    <t>manufacturing (so, Target… but not Amazon).</t>
  </si>
  <si>
    <t>Here's an example using Target's pension plan disclosures in one year:</t>
  </si>
  <si>
    <t>Here's an example based on Target's financials in the same 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</si>
</sst>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"/>
    <numFmt numFmtId="165" formatCode="_(* #,##0.000_);_(* \(#,##0.000\);_(* &quot;-&quot;???_);_(@_)"/>
    <numFmt numFmtId="166" formatCode="_(0.0\ \x_);\(0.0\ \x\);_(&quot;–&quot;_);_(@_)"/>
    <numFmt numFmtId="167" formatCode="_(* #,##0.000_);_(* \(#,##0.000\);_(* &quot;-&quot;_);_(@_)"/>
    <numFmt numFmtId="168" formatCode="0.0%;\(0.0%\)"/>
    <numFmt numFmtId="169" formatCode="_([$€-2]\ * #,##0_);_([$€-2]\ * \(#,##0\);_([$€-2]\ * &quot;-&quot;_);_(@_)"/>
    <numFmt numFmtId="170" formatCode="_([$€-2]\ * #,##0.00_);_([$€-2]\ * \(#,##0.00\);_([$€-2]\ * &quot;-&quot;??_);_(@_)"/>
    <numFmt numFmtId="171" formatCode="_(0.0000\ \x_);\(0.0000\ \x\);_(&quot;–&quot;_);_(@_)"/>
    <numFmt numFmtId="172" formatCode="&quot;FY&quot;\ yy"/>
    <numFmt numFmtId="173" formatCode="0.0%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name val="Arial"/>
      <family val="2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u/>
      <sz val="12"/>
      <color rgb="FFFFFFFF"/>
      <name val="Arial"/>
      <family val="2"/>
    </font>
    <font>
      <u/>
      <sz val="12"/>
      <color rgb="FFFFFFFF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FFFF"/>
      <name val="Calibri"/>
      <family val="2"/>
      <scheme val="minor"/>
    </font>
    <font>
      <b/>
      <sz val="12"/>
      <color rgb="FF0016E4"/>
      <name val="Calibri"/>
      <family val="2"/>
      <scheme val="minor"/>
    </font>
    <font>
      <sz val="12"/>
      <color rgb="FF0016E4"/>
      <name val="Calibri"/>
      <family val="2"/>
      <scheme val="minor"/>
    </font>
    <font>
      <sz val="12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1F497D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6" fillId="3" borderId="3" applyNumberFormat="0" applyFont="0" applyAlignment="0" applyProtection="0"/>
    <xf numFmtId="0" fontId="13" fillId="0" borderId="0"/>
    <xf numFmtId="0" fontId="6" fillId="0" borderId="0"/>
  </cellStyleXfs>
  <cellXfs count="90">
    <xf numFmtId="0" fontId="0" fillId="0" borderId="0" xfId="0"/>
    <xf numFmtId="0" fontId="7" fillId="0" borderId="0" xfId="0" applyFont="1"/>
    <xf numFmtId="0" fontId="5" fillId="0" borderId="0" xfId="0" applyFont="1"/>
    <xf numFmtId="0" fontId="8" fillId="2" borderId="3" xfId="1" applyFont="1" applyFill="1" applyAlignment="1">
      <alignment horizontal="centerContinuous"/>
    </xf>
    <xf numFmtId="0" fontId="5" fillId="0" borderId="0" xfId="0" applyFont="1" applyAlignment="1">
      <alignment horizontal="center"/>
    </xf>
    <xf numFmtId="165" fontId="8" fillId="0" borderId="2" xfId="0" applyNumberFormat="1" applyFont="1" applyBorder="1"/>
    <xf numFmtId="165" fontId="5" fillId="0" borderId="0" xfId="0" applyNumberFormat="1" applyFont="1"/>
    <xf numFmtId="165" fontId="8" fillId="0" borderId="0" xfId="0" applyNumberFormat="1" applyFont="1"/>
    <xf numFmtId="0" fontId="7" fillId="0" borderId="2" xfId="0" applyFont="1" applyBorder="1"/>
    <xf numFmtId="0" fontId="5" fillId="0" borderId="2" xfId="0" applyFont="1" applyBorder="1"/>
    <xf numFmtId="165" fontId="7" fillId="0" borderId="2" xfId="0" applyNumberFormat="1" applyFont="1" applyBorder="1"/>
    <xf numFmtId="165" fontId="7" fillId="0" borderId="0" xfId="0" applyNumberFormat="1" applyFont="1"/>
    <xf numFmtId="0" fontId="11" fillId="0" borderId="0" xfId="0" applyFont="1"/>
    <xf numFmtId="0" fontId="7" fillId="4" borderId="1" xfId="0" applyFont="1" applyFill="1" applyBorder="1"/>
    <xf numFmtId="0" fontId="5" fillId="4" borderId="1" xfId="0" applyFont="1" applyFill="1" applyBorder="1"/>
    <xf numFmtId="0" fontId="5" fillId="4" borderId="0" xfId="0" applyFont="1" applyFill="1"/>
    <xf numFmtId="0" fontId="7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44" fontId="8" fillId="0" borderId="2" xfId="0" applyNumberFormat="1" applyFont="1" applyBorder="1"/>
    <xf numFmtId="0" fontId="3" fillId="0" borderId="0" xfId="0" applyFont="1" applyAlignment="1">
      <alignment horizontal="left" indent="1"/>
    </xf>
    <xf numFmtId="0" fontId="5" fillId="0" borderId="1" xfId="0" applyFont="1" applyBorder="1"/>
    <xf numFmtId="41" fontId="8" fillId="2" borderId="3" xfId="0" applyNumberFormat="1" applyFont="1" applyFill="1" applyBorder="1"/>
    <xf numFmtId="41" fontId="8" fillId="2" borderId="5" xfId="0" applyNumberFormat="1" applyFont="1" applyFill="1" applyBorder="1"/>
    <xf numFmtId="41" fontId="9" fillId="2" borderId="3" xfId="0" applyNumberFormat="1" applyFont="1" applyFill="1" applyBorder="1"/>
    <xf numFmtId="0" fontId="3" fillId="0" borderId="0" xfId="0" applyFont="1"/>
    <xf numFmtId="164" fontId="8" fillId="2" borderId="3" xfId="0" applyNumberFormat="1" applyFont="1" applyFill="1" applyBorder="1" applyAlignment="1">
      <alignment horizontal="center"/>
    </xf>
    <xf numFmtId="41" fontId="7" fillId="0" borderId="2" xfId="0" applyNumberFormat="1" applyFont="1" applyBorder="1"/>
    <xf numFmtId="41" fontId="5" fillId="0" borderId="0" xfId="0" applyNumberFormat="1" applyFont="1"/>
    <xf numFmtId="42" fontId="7" fillId="0" borderId="2" xfId="0" applyNumberFormat="1" applyFont="1" applyBorder="1"/>
    <xf numFmtId="166" fontId="5" fillId="0" borderId="0" xfId="0" applyNumberFormat="1" applyFont="1"/>
    <xf numFmtId="0" fontId="2" fillId="0" borderId="0" xfId="0" applyFont="1"/>
    <xf numFmtId="41" fontId="9" fillId="0" borderId="0" xfId="0" applyNumberFormat="1" applyFont="1"/>
    <xf numFmtId="0" fontId="1" fillId="0" borderId="0" xfId="0" applyFont="1"/>
    <xf numFmtId="167" fontId="8" fillId="2" borderId="4" xfId="0" applyNumberFormat="1" applyFont="1" applyFill="1" applyBorder="1"/>
    <xf numFmtId="167" fontId="9" fillId="2" borderId="6" xfId="0" applyNumberFormat="1" applyFont="1" applyFill="1" applyBorder="1"/>
    <xf numFmtId="0" fontId="1" fillId="0" borderId="0" xfId="0" applyFont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7" fillId="0" borderId="0" xfId="0" applyFont="1" applyAlignment="1">
      <alignment horizontal="center"/>
    </xf>
    <xf numFmtId="41" fontId="10" fillId="0" borderId="0" xfId="0" applyNumberFormat="1" applyFont="1"/>
    <xf numFmtId="43" fontId="8" fillId="0" borderId="0" xfId="0" applyNumberFormat="1" applyFont="1"/>
    <xf numFmtId="0" fontId="15" fillId="4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168" fontId="8" fillId="2" borderId="3" xfId="0" applyNumberFormat="1" applyFont="1" applyFill="1" applyBorder="1" applyAlignment="1">
      <alignment horizontal="center"/>
    </xf>
    <xf numFmtId="0" fontId="16" fillId="5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left"/>
    </xf>
    <xf numFmtId="0" fontId="18" fillId="5" borderId="1" xfId="0" applyFont="1" applyFill="1" applyBorder="1" applyAlignment="1">
      <alignment horizontal="left"/>
    </xf>
    <xf numFmtId="44" fontId="8" fillId="0" borderId="0" xfId="0" applyNumberFormat="1" applyFont="1"/>
    <xf numFmtId="165" fontId="1" fillId="0" borderId="0" xfId="0" applyNumberFormat="1" applyFont="1"/>
    <xf numFmtId="165" fontId="1" fillId="0" borderId="2" xfId="0" applyNumberFormat="1" applyFont="1" applyBorder="1"/>
    <xf numFmtId="0" fontId="1" fillId="0" borderId="2" xfId="0" applyFont="1" applyBorder="1"/>
    <xf numFmtId="41" fontId="9" fillId="2" borderId="7" xfId="0" applyNumberFormat="1" applyFont="1" applyFill="1" applyBorder="1"/>
    <xf numFmtId="41" fontId="10" fillId="0" borderId="2" xfId="0" applyNumberFormat="1" applyFont="1" applyBorder="1"/>
    <xf numFmtId="42" fontId="10" fillId="0" borderId="0" xfId="0" applyNumberFormat="1" applyFont="1"/>
    <xf numFmtId="0" fontId="7" fillId="0" borderId="2" xfId="0" applyFont="1" applyBorder="1" applyAlignment="1">
      <alignment horizontal="left"/>
    </xf>
    <xf numFmtId="41" fontId="9" fillId="2" borderId="5" xfId="0" applyNumberFormat="1" applyFont="1" applyFill="1" applyBorder="1"/>
    <xf numFmtId="169" fontId="7" fillId="0" borderId="2" xfId="0" applyNumberFormat="1" applyFont="1" applyBorder="1"/>
    <xf numFmtId="170" fontId="8" fillId="2" borderId="3" xfId="0" applyNumberFormat="1" applyFont="1" applyFill="1" applyBorder="1"/>
    <xf numFmtId="0" fontId="3" fillId="0" borderId="1" xfId="0" applyFont="1" applyBorder="1" applyAlignment="1">
      <alignment horizontal="left" indent="1"/>
    </xf>
    <xf numFmtId="171" fontId="8" fillId="2" borderId="3" xfId="0" applyNumberFormat="1" applyFont="1" applyFill="1" applyBorder="1" applyAlignment="1">
      <alignment horizontal="center"/>
    </xf>
    <xf numFmtId="41" fontId="7" fillId="0" borderId="0" xfId="0" applyNumberFormat="1" applyFont="1" applyAlignment="1">
      <alignment horizontal="center"/>
    </xf>
    <xf numFmtId="169" fontId="12" fillId="2" borderId="3" xfId="0" applyNumberFormat="1" applyFont="1" applyFill="1" applyBorder="1"/>
    <xf numFmtId="0" fontId="8" fillId="2" borderId="3" xfId="1" applyFont="1" applyFill="1" applyAlignment="1">
      <alignment horizontal="center"/>
    </xf>
    <xf numFmtId="42" fontId="9" fillId="0" borderId="0" xfId="0" applyNumberFormat="1" applyFont="1"/>
    <xf numFmtId="173" fontId="5" fillId="0" borderId="0" xfId="0" applyNumberFormat="1" applyFont="1"/>
    <xf numFmtId="172" fontId="7" fillId="4" borderId="1" xfId="0" applyNumberFormat="1" applyFont="1" applyFill="1" applyBorder="1" applyAlignment="1">
      <alignment horizontal="center"/>
    </xf>
    <xf numFmtId="169" fontId="10" fillId="0" borderId="0" xfId="0" applyNumberFormat="1" applyFont="1"/>
    <xf numFmtId="41" fontId="8" fillId="0" borderId="0" xfId="0" applyNumberFormat="1" applyFont="1"/>
    <xf numFmtId="0" fontId="7" fillId="0" borderId="0" xfId="0" applyFont="1" applyAlignment="1">
      <alignment horizontal="left"/>
    </xf>
    <xf numFmtId="41" fontId="7" fillId="0" borderId="0" xfId="0" applyNumberFormat="1" applyFont="1"/>
    <xf numFmtId="41" fontId="1" fillId="0" borderId="0" xfId="0" applyNumberFormat="1" applyFont="1"/>
    <xf numFmtId="0" fontId="1" fillId="0" borderId="0" xfId="0" applyFont="1" applyAlignment="1">
      <alignment horizontal="left"/>
    </xf>
    <xf numFmtId="0" fontId="1" fillId="4" borderId="1" xfId="0" applyFont="1" applyFill="1" applyBorder="1"/>
    <xf numFmtId="169" fontId="9" fillId="0" borderId="0" xfId="0" applyNumberFormat="1" applyFont="1"/>
    <xf numFmtId="172" fontId="1" fillId="0" borderId="0" xfId="0" applyNumberFormat="1" applyFont="1" applyAlignment="1">
      <alignment horizontal="center"/>
    </xf>
    <xf numFmtId="169" fontId="8" fillId="0" borderId="0" xfId="0" applyNumberFormat="1" applyFont="1"/>
    <xf numFmtId="0" fontId="1" fillId="0" borderId="0" xfId="0" applyFont="1" applyAlignment="1">
      <alignment horizontal="center"/>
    </xf>
    <xf numFmtId="164" fontId="8" fillId="0" borderId="0" xfId="1" applyNumberFormat="1" applyFont="1" applyFill="1" applyBorder="1" applyAlignment="1">
      <alignment horizontal="centerContinuous"/>
    </xf>
    <xf numFmtId="164" fontId="8" fillId="2" borderId="3" xfId="1" applyNumberFormat="1" applyFont="1" applyFill="1" applyAlignment="1">
      <alignment horizontal="centerContinuous"/>
    </xf>
    <xf numFmtId="0" fontId="16" fillId="6" borderId="1" xfId="0" applyFont="1" applyFill="1" applyBorder="1"/>
    <xf numFmtId="0" fontId="21" fillId="6" borderId="1" xfId="0" applyFont="1" applyFill="1" applyBorder="1"/>
    <xf numFmtId="42" fontId="22" fillId="0" borderId="0" xfId="0" applyNumberFormat="1" applyFont="1"/>
    <xf numFmtId="41" fontId="23" fillId="0" borderId="0" xfId="0" applyNumberFormat="1" applyFont="1"/>
    <xf numFmtId="41" fontId="24" fillId="0" borderId="0" xfId="0" applyNumberFormat="1" applyFont="1"/>
    <xf numFmtId="0" fontId="16" fillId="6" borderId="1" xfId="0" applyFont="1" applyFill="1" applyBorder="1" applyAlignment="1">
      <alignment horizontal="center"/>
    </xf>
    <xf numFmtId="0" fontId="23" fillId="0" borderId="0" xfId="0" applyFont="1"/>
    <xf numFmtId="168" fontId="7" fillId="0" borderId="0" xfId="0" applyNumberFormat="1" applyFont="1"/>
    <xf numFmtId="0" fontId="14" fillId="0" borderId="0" xfId="0" applyFont="1" applyAlignment="1">
      <alignment horizontal="left" indent="1"/>
    </xf>
    <xf numFmtId="173" fontId="1" fillId="0" borderId="0" xfId="0" applyNumberFormat="1" applyFont="1"/>
    <xf numFmtId="9" fontId="5" fillId="0" borderId="0" xfId="0" applyNumberFormat="1" applyFont="1"/>
  </cellXfs>
  <cellStyles count="4">
    <cellStyle name="Normal" xfId="0" builtinId="0"/>
    <cellStyle name="Normal 2" xfId="2" xr:uid="{EEF1FE11-9F4F-4BE3-BD4C-457391DFFA66}"/>
    <cellStyle name="Normal 3 2" xfId="3" xr:uid="{BCACA5BD-A7D0-4154-8357-D466FAD7DD31}"/>
    <cellStyle name="Note" xfId="1" builtinId="10"/>
  </cellStyles>
  <dxfs count="0"/>
  <tableStyles count="0" defaultTableStyle="TableStyleMedium2" defaultPivotStyle="PivotStyleMedium9"/>
  <colors>
    <mruColors>
      <color rgb="FF0000FF"/>
      <color rgb="FFB2B2B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0-CFM-2023-Edition/06-Equity-Value-Enterprise-Value-Metrics/06-12-Pensions/06-12-Pensions-After.xlsx" TargetMode="External"/><Relationship Id="rId2" Type="http://schemas.openxmlformats.org/officeDocument/2006/relationships/externalLinkPath" Target="file:///C:\Users\bdech\BIWS%20Dropbox\Brian%20DeChesare\BIWS-All-Courses\10-CFM-2023-Edition\06-Equity-Value-Enterprise-Value-Metrics\06-12-Pensions\06-12-Pensions-After.xlsx" TargetMode="External"/><Relationship Id="rId1" Type="http://schemas.openxmlformats.org/officeDocument/2006/relationships/externalLinkPath" Target="/Users/bdech/BIWS%20Dropbox/Brian%20DeChesare/BIWS-All-Courses/10-CFM-2023-Edition/06-Equity-Value-Enterprise-Value-Metrics/06-12-Pensions/06-12-Pensions-Af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ension_Acct"/>
      <sheetName val="TGT"/>
      <sheetName val="VIV"/>
      <sheetName val="Eq_Val_Ent_Value_Changes"/>
    </sheetNames>
    <sheetDataSet>
      <sheetData sheetId="0"/>
      <sheetData sheetId="1" refreshError="1"/>
      <sheetData sheetId="2">
        <row r="7">
          <cell r="F7" t="str">
            <v>Vivendi SA</v>
          </cell>
        </row>
        <row r="10">
          <cell r="F10">
            <v>19.36</v>
          </cell>
        </row>
        <row r="11">
          <cell r="F11">
            <v>1170.5999999999999</v>
          </cell>
        </row>
        <row r="12">
          <cell r="F12">
            <v>1171.2505568181816</v>
          </cell>
        </row>
      </sheetData>
      <sheetData sheetId="3">
        <row r="7">
          <cell r="F7">
            <v>0.25</v>
          </cell>
        </row>
        <row r="10">
          <cell r="F10">
            <v>1000</v>
          </cell>
        </row>
        <row r="11">
          <cell r="F11">
            <v>100</v>
          </cell>
        </row>
        <row r="13">
          <cell r="F1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23F6B-6435-4C52-AAD1-5A0AFFD87E53}">
  <sheetPr>
    <pageSetUpPr autoPageBreaks="0"/>
  </sheetPr>
  <dimension ref="B2:N66"/>
  <sheetViews>
    <sheetView showGridLines="0" tabSelected="1" zoomScaleNormal="100" workbookViewId="0">
      <selection activeCell="B2" sqref="B2"/>
    </sheetView>
  </sheetViews>
  <sheetFormatPr defaultColWidth="9.1796875" defaultRowHeight="15.5" x14ac:dyDescent="0.35"/>
  <cols>
    <col min="1" max="2" width="2.7265625" style="2" customWidth="1"/>
    <col min="3" max="5" width="15.7265625" style="2" customWidth="1"/>
    <col min="6" max="6" width="18.7265625" style="2" bestFit="1" customWidth="1"/>
    <col min="7" max="8" width="2.7265625" style="2" customWidth="1"/>
    <col min="9" max="13" width="14.7265625" style="2" customWidth="1"/>
    <col min="14" max="14" width="2.7265625" style="2" customWidth="1"/>
    <col min="15" max="16384" width="9.1796875" style="2"/>
  </cols>
  <sheetData>
    <row r="2" spans="2:14" ht="18.5" x14ac:dyDescent="0.45">
      <c r="B2" s="12" t="str">
        <f>Company_Name&amp;" - Equity Value and Enterprise Value"</f>
        <v>Michelin SCA - Equity Value and Enterprise Value</v>
      </c>
    </row>
    <row r="3" spans="2:14" x14ac:dyDescent="0.35">
      <c r="B3" s="32" t="s">
        <v>61</v>
      </c>
    </row>
    <row r="5" spans="2:14" x14ac:dyDescent="0.35">
      <c r="B5" s="44" t="s">
        <v>54</v>
      </c>
      <c r="C5" s="45"/>
      <c r="D5" s="45"/>
      <c r="E5" s="46"/>
      <c r="F5" s="46"/>
      <c r="G5" s="46"/>
      <c r="H5" s="46"/>
      <c r="I5" s="46"/>
      <c r="J5" s="46"/>
      <c r="K5" s="46"/>
      <c r="L5" s="46"/>
      <c r="M5" s="46"/>
    </row>
    <row r="7" spans="2:14" x14ac:dyDescent="0.35">
      <c r="B7" s="13" t="s">
        <v>53</v>
      </c>
      <c r="C7" s="14"/>
      <c r="D7" s="14"/>
      <c r="E7" s="40" t="s">
        <v>42</v>
      </c>
      <c r="F7" s="14"/>
      <c r="H7" s="13" t="s">
        <v>10</v>
      </c>
      <c r="I7" s="14"/>
      <c r="J7" s="14"/>
      <c r="K7" s="14"/>
      <c r="L7" s="14"/>
      <c r="M7" s="14"/>
    </row>
    <row r="8" spans="2:14" x14ac:dyDescent="0.35">
      <c r="B8" s="1"/>
    </row>
    <row r="9" spans="2:14" x14ac:dyDescent="0.35">
      <c r="B9" s="1"/>
      <c r="C9" s="2" t="s">
        <v>13</v>
      </c>
      <c r="E9" s="41" t="s">
        <v>31</v>
      </c>
      <c r="F9" s="62" t="s">
        <v>62</v>
      </c>
      <c r="I9" s="1" t="s">
        <v>11</v>
      </c>
    </row>
    <row r="10" spans="2:14" x14ac:dyDescent="0.35">
      <c r="C10" s="2" t="s">
        <v>14</v>
      </c>
      <c r="E10" s="41" t="s">
        <v>31</v>
      </c>
      <c r="F10" s="3" t="s">
        <v>63</v>
      </c>
      <c r="I10" s="1"/>
    </row>
    <row r="11" spans="2:14" x14ac:dyDescent="0.35">
      <c r="C11" s="32" t="s">
        <v>70</v>
      </c>
      <c r="E11" s="41" t="s">
        <v>43</v>
      </c>
      <c r="F11" s="78">
        <v>46022</v>
      </c>
      <c r="I11" s="15"/>
      <c r="J11" s="15"/>
      <c r="K11" s="16" t="s">
        <v>3</v>
      </c>
      <c r="L11" s="16" t="s">
        <v>2</v>
      </c>
      <c r="M11" s="15"/>
    </row>
    <row r="12" spans="2:14" x14ac:dyDescent="0.35">
      <c r="C12" s="32"/>
      <c r="E12" s="41"/>
      <c r="F12" s="77"/>
      <c r="I12" s="17" t="s">
        <v>9</v>
      </c>
      <c r="J12" s="14"/>
      <c r="K12" s="17" t="s">
        <v>4</v>
      </c>
      <c r="L12" s="17" t="s">
        <v>7</v>
      </c>
      <c r="M12" s="17" t="s">
        <v>8</v>
      </c>
    </row>
    <row r="13" spans="2:14" x14ac:dyDescent="0.35">
      <c r="C13" s="2" t="s">
        <v>1</v>
      </c>
      <c r="E13" s="41" t="s">
        <v>43</v>
      </c>
      <c r="F13" s="25">
        <v>46101</v>
      </c>
      <c r="I13" s="35" t="s">
        <v>51</v>
      </c>
      <c r="K13" s="7"/>
      <c r="L13" s="47"/>
      <c r="M13" s="6">
        <f>IF(Share_Price&gt;L13,K13-K13*L13/Share_Price,0)</f>
        <v>0</v>
      </c>
    </row>
    <row r="14" spans="2:14" x14ac:dyDescent="0.35">
      <c r="C14" s="2" t="s">
        <v>0</v>
      </c>
      <c r="E14" s="41" t="s">
        <v>60</v>
      </c>
      <c r="F14" s="57">
        <v>28.45</v>
      </c>
      <c r="I14" s="8" t="s">
        <v>5</v>
      </c>
      <c r="J14" s="9"/>
      <c r="K14" s="10"/>
      <c r="L14" s="9"/>
      <c r="M14" s="10">
        <f>SUM(M13)</f>
        <v>0</v>
      </c>
      <c r="N14" s="4"/>
    </row>
    <row r="15" spans="2:14" x14ac:dyDescent="0.35">
      <c r="C15" s="32" t="s">
        <v>45</v>
      </c>
      <c r="E15" s="41" t="s">
        <v>44</v>
      </c>
      <c r="F15" s="33">
        <v>687.59623999999997</v>
      </c>
    </row>
    <row r="16" spans="2:14" x14ac:dyDescent="0.35">
      <c r="C16" s="32" t="s">
        <v>46</v>
      </c>
      <c r="E16" s="41" t="s">
        <v>44</v>
      </c>
      <c r="F16" s="34">
        <f>Basic_Shares+M14+M22</f>
        <v>698.11778199999992</v>
      </c>
      <c r="I16" s="1" t="s">
        <v>35</v>
      </c>
    </row>
    <row r="17" spans="3:14" x14ac:dyDescent="0.35">
      <c r="C17" s="24" t="s">
        <v>25</v>
      </c>
      <c r="E17" s="41" t="s">
        <v>47</v>
      </c>
      <c r="F17" s="43">
        <v>0.25</v>
      </c>
      <c r="I17" s="1"/>
    </row>
    <row r="18" spans="3:14" x14ac:dyDescent="0.35">
      <c r="C18" s="32" t="s">
        <v>58</v>
      </c>
      <c r="E18" s="41" t="s">
        <v>50</v>
      </c>
      <c r="F18" s="59">
        <v>1.1577999999999999</v>
      </c>
      <c r="I18" s="15"/>
      <c r="J18" s="15"/>
      <c r="K18" s="16" t="s">
        <v>3</v>
      </c>
      <c r="L18" s="16" t="s">
        <v>40</v>
      </c>
      <c r="M18" s="15"/>
    </row>
    <row r="19" spans="3:14" x14ac:dyDescent="0.35">
      <c r="I19" s="17" t="s">
        <v>9</v>
      </c>
      <c r="J19" s="14"/>
      <c r="K19" s="17" t="s">
        <v>4</v>
      </c>
      <c r="L19" s="17" t="s">
        <v>41</v>
      </c>
      <c r="M19" s="17" t="s">
        <v>8</v>
      </c>
    </row>
    <row r="20" spans="3:14" x14ac:dyDescent="0.35">
      <c r="C20" s="1" t="s">
        <v>12</v>
      </c>
      <c r="E20" s="41" t="s">
        <v>59</v>
      </c>
      <c r="F20" s="38">
        <f>Basic_Shares*Share_Price</f>
        <v>19562.113028</v>
      </c>
      <c r="I20" s="36" t="s">
        <v>15</v>
      </c>
      <c r="J20" s="9"/>
      <c r="K20" s="5">
        <v>10.521542</v>
      </c>
      <c r="L20" s="18"/>
      <c r="M20" s="49">
        <f>K20</f>
        <v>10.521542</v>
      </c>
    </row>
    <row r="21" spans="3:14" x14ac:dyDescent="0.35">
      <c r="I21" s="35" t="s">
        <v>52</v>
      </c>
      <c r="K21" s="7"/>
      <c r="L21" s="39"/>
      <c r="M21" s="48">
        <f>K21</f>
        <v>0</v>
      </c>
    </row>
    <row r="22" spans="3:14" x14ac:dyDescent="0.35">
      <c r="C22" s="1" t="s">
        <v>6</v>
      </c>
      <c r="E22" s="41" t="s">
        <v>59</v>
      </c>
      <c r="F22" s="38">
        <f>Diluted_Shares*Share_Price</f>
        <v>19861.450897899998</v>
      </c>
      <c r="I22" s="8" t="s">
        <v>5</v>
      </c>
      <c r="J22" s="9"/>
      <c r="K22" s="9"/>
      <c r="L22" s="9"/>
      <c r="M22" s="10">
        <f>SUM(M20:M21)</f>
        <v>10.521542</v>
      </c>
    </row>
    <row r="23" spans="3:14" x14ac:dyDescent="0.35">
      <c r="C23" s="19" t="s">
        <v>16</v>
      </c>
      <c r="E23" s="41" t="s">
        <v>59</v>
      </c>
      <c r="F23" s="21">
        <v>-3877</v>
      </c>
    </row>
    <row r="24" spans="3:14" x14ac:dyDescent="0.35">
      <c r="C24" s="19" t="s">
        <v>17</v>
      </c>
      <c r="E24" s="41" t="s">
        <v>59</v>
      </c>
      <c r="F24" s="23">
        <f>-1032-371</f>
        <v>-1403</v>
      </c>
    </row>
    <row r="25" spans="3:14" x14ac:dyDescent="0.35">
      <c r="C25" s="19" t="s">
        <v>18</v>
      </c>
      <c r="E25" s="41" t="s">
        <v>59</v>
      </c>
      <c r="F25" s="21">
        <v>-931</v>
      </c>
    </row>
    <row r="26" spans="3:14" x14ac:dyDescent="0.35">
      <c r="C26" s="19" t="s">
        <v>19</v>
      </c>
      <c r="E26" s="41" t="s">
        <v>59</v>
      </c>
      <c r="F26" s="21">
        <v>0</v>
      </c>
    </row>
    <row r="27" spans="3:14" x14ac:dyDescent="0.35">
      <c r="C27" s="19" t="s">
        <v>20</v>
      </c>
      <c r="E27" s="41" t="s">
        <v>59</v>
      </c>
      <c r="F27" s="21">
        <v>-224</v>
      </c>
    </row>
    <row r="28" spans="3:14" x14ac:dyDescent="0.35">
      <c r="C28" s="19" t="s">
        <v>21</v>
      </c>
      <c r="E28" s="41" t="s">
        <v>59</v>
      </c>
      <c r="F28" s="23">
        <f>4354+206+21+612</f>
        <v>5193</v>
      </c>
      <c r="I28" s="27"/>
      <c r="K28" s="37"/>
      <c r="L28" s="37"/>
    </row>
    <row r="29" spans="3:14" x14ac:dyDescent="0.35">
      <c r="C29" s="19" t="s">
        <v>22</v>
      </c>
      <c r="E29" s="41" t="s">
        <v>59</v>
      </c>
      <c r="F29" s="21">
        <v>0</v>
      </c>
      <c r="I29" s="60"/>
      <c r="K29" s="37"/>
      <c r="L29" s="37"/>
      <c r="M29" s="37"/>
    </row>
    <row r="30" spans="3:14" x14ac:dyDescent="0.35">
      <c r="C30" s="19" t="s">
        <v>23</v>
      </c>
      <c r="E30" s="41" t="s">
        <v>59</v>
      </c>
      <c r="F30" s="21">
        <v>4</v>
      </c>
      <c r="I30" s="1"/>
      <c r="K30" s="11"/>
      <c r="M30" s="11"/>
      <c r="N30" s="11"/>
    </row>
    <row r="31" spans="3:14" x14ac:dyDescent="0.35">
      <c r="C31" s="58" t="s">
        <v>24</v>
      </c>
      <c r="D31" s="20"/>
      <c r="E31" s="42" t="s">
        <v>59</v>
      </c>
      <c r="F31" s="55">
        <f>2346*(1-Tax_Rate)</f>
        <v>1759.5</v>
      </c>
      <c r="I31" s="89"/>
      <c r="J31" s="27"/>
    </row>
    <row r="32" spans="3:14" x14ac:dyDescent="0.35">
      <c r="C32" s="1" t="s">
        <v>56</v>
      </c>
      <c r="E32" s="41" t="s">
        <v>59</v>
      </c>
      <c r="F32" s="38">
        <f>SUM(F22:F31)</f>
        <v>20382.950897899998</v>
      </c>
    </row>
    <row r="33" spans="2:13" x14ac:dyDescent="0.35">
      <c r="C33" s="35" t="s">
        <v>57</v>
      </c>
      <c r="E33" s="42" t="s">
        <v>59</v>
      </c>
      <c r="F33" s="23">
        <f>726+257</f>
        <v>983</v>
      </c>
    </row>
    <row r="34" spans="2:13" x14ac:dyDescent="0.35">
      <c r="C34" s="8" t="s">
        <v>48</v>
      </c>
      <c r="D34" s="8"/>
      <c r="E34" s="41" t="s">
        <v>59</v>
      </c>
      <c r="F34" s="56">
        <f>SUM(F32:F33)</f>
        <v>21365.950897899998</v>
      </c>
    </row>
    <row r="36" spans="2:13" x14ac:dyDescent="0.35">
      <c r="B36" s="13" t="s">
        <v>55</v>
      </c>
      <c r="C36" s="14"/>
      <c r="D36" s="14"/>
      <c r="E36" s="40" t="str">
        <f>$E$7</f>
        <v>Units:</v>
      </c>
      <c r="F36" s="65" cm="1">
        <f t="array" ref="F36">Last_FY</f>
        <v>46022</v>
      </c>
      <c r="H36" s="32"/>
      <c r="I36" s="32"/>
      <c r="J36" s="32"/>
      <c r="K36" s="32"/>
      <c r="L36" s="32"/>
      <c r="M36" s="32"/>
    </row>
    <row r="37" spans="2:13" x14ac:dyDescent="0.35">
      <c r="H37" s="32"/>
      <c r="I37" s="32"/>
      <c r="J37" s="32"/>
      <c r="K37" s="76"/>
      <c r="L37" s="76"/>
      <c r="M37" s="74"/>
    </row>
    <row r="38" spans="2:13" x14ac:dyDescent="0.35">
      <c r="C38" s="1" t="s">
        <v>28</v>
      </c>
      <c r="E38" s="41" t="s">
        <v>59</v>
      </c>
      <c r="F38" s="61">
        <v>25992</v>
      </c>
      <c r="H38" s="32"/>
      <c r="I38" s="32"/>
      <c r="J38" s="32"/>
      <c r="K38" s="32"/>
      <c r="L38" s="32"/>
      <c r="M38" s="32"/>
    </row>
    <row r="39" spans="2:13" x14ac:dyDescent="0.35">
      <c r="C39" s="35" t="s">
        <v>32</v>
      </c>
      <c r="E39" s="41" t="s">
        <v>59</v>
      </c>
      <c r="F39" s="21">
        <v>-18973</v>
      </c>
      <c r="H39" s="32"/>
      <c r="I39" s="32"/>
      <c r="J39" s="32"/>
      <c r="K39" s="32"/>
      <c r="L39" s="76"/>
      <c r="M39" s="75"/>
    </row>
    <row r="40" spans="2:13" x14ac:dyDescent="0.35">
      <c r="C40" s="35" t="s">
        <v>49</v>
      </c>
      <c r="E40" s="41" t="s">
        <v>59</v>
      </c>
      <c r="F40" s="23">
        <f>-1176-788-2265-70-353</f>
        <v>-4652</v>
      </c>
      <c r="H40" s="32"/>
      <c r="I40" s="35"/>
      <c r="J40" s="32"/>
      <c r="K40" s="32"/>
      <c r="L40" s="76"/>
      <c r="M40" s="67"/>
    </row>
    <row r="41" spans="2:13" x14ac:dyDescent="0.35">
      <c r="C41" s="35" t="s">
        <v>26</v>
      </c>
      <c r="E41" s="42" t="s">
        <v>59</v>
      </c>
      <c r="F41" s="23">
        <f>103+9+14</f>
        <v>126</v>
      </c>
      <c r="H41" s="32"/>
      <c r="I41" s="35"/>
      <c r="J41" s="32"/>
      <c r="K41" s="32"/>
      <c r="L41" s="76"/>
      <c r="M41" s="67"/>
    </row>
    <row r="42" spans="2:13" x14ac:dyDescent="0.35">
      <c r="C42" s="8" t="s">
        <v>33</v>
      </c>
      <c r="D42" s="9"/>
      <c r="E42" s="41" t="s">
        <v>59</v>
      </c>
      <c r="F42" s="26">
        <f>SUM(F38:F41)</f>
        <v>2493</v>
      </c>
      <c r="H42" s="32"/>
      <c r="I42" s="32"/>
      <c r="J42" s="32"/>
      <c r="K42" s="32"/>
      <c r="L42" s="32"/>
      <c r="M42" s="32"/>
    </row>
    <row r="43" spans="2:13" x14ac:dyDescent="0.35">
      <c r="C43" s="35" t="s">
        <v>34</v>
      </c>
      <c r="E43" s="42" t="s">
        <v>59</v>
      </c>
      <c r="F43" s="51">
        <f>1943+93</f>
        <v>2036</v>
      </c>
      <c r="H43" s="32"/>
      <c r="I43" s="35"/>
      <c r="J43" s="32"/>
      <c r="K43" s="32"/>
      <c r="L43" s="76"/>
      <c r="M43" s="67"/>
    </row>
    <row r="44" spans="2:13" x14ac:dyDescent="0.35">
      <c r="C44" s="8" t="s">
        <v>27</v>
      </c>
      <c r="D44" s="9"/>
      <c r="E44" s="41" t="s">
        <v>59</v>
      </c>
      <c r="F44" s="26">
        <f>SUM(F42:F43)</f>
        <v>4529</v>
      </c>
      <c r="H44" s="32"/>
      <c r="I44" s="32"/>
      <c r="J44" s="32"/>
      <c r="K44" s="32"/>
      <c r="L44" s="76"/>
      <c r="M44" s="70"/>
    </row>
    <row r="45" spans="2:13" x14ac:dyDescent="0.35">
      <c r="C45" s="35" t="s">
        <v>64</v>
      </c>
      <c r="D45" s="32"/>
      <c r="E45" s="41" t="s">
        <v>59</v>
      </c>
      <c r="F45" s="23">
        <f>71+53+19</f>
        <v>143</v>
      </c>
      <c r="H45" s="32"/>
      <c r="I45" s="35"/>
      <c r="J45" s="32"/>
      <c r="K45" s="32"/>
      <c r="L45" s="76"/>
      <c r="M45" s="67"/>
    </row>
    <row r="46" spans="2:13" x14ac:dyDescent="0.35">
      <c r="C46" s="35" t="s">
        <v>65</v>
      </c>
      <c r="D46" s="32"/>
      <c r="E46" s="41" t="s">
        <v>59</v>
      </c>
      <c r="F46" s="21">
        <v>0</v>
      </c>
      <c r="H46" s="32"/>
      <c r="I46" s="35"/>
      <c r="J46" s="32"/>
      <c r="K46" s="32"/>
      <c r="L46" s="76"/>
      <c r="M46" s="31"/>
    </row>
    <row r="47" spans="2:13" x14ac:dyDescent="0.35">
      <c r="C47" s="35" t="s">
        <v>66</v>
      </c>
      <c r="D47" s="32"/>
      <c r="E47" s="42" t="s">
        <v>59</v>
      </c>
      <c r="F47" s="22">
        <v>0</v>
      </c>
      <c r="H47" s="32"/>
      <c r="I47" s="32"/>
      <c r="J47" s="32"/>
      <c r="K47" s="76"/>
      <c r="L47" s="76"/>
      <c r="M47" s="73"/>
    </row>
    <row r="48" spans="2:13" x14ac:dyDescent="0.35">
      <c r="C48" s="8" t="s">
        <v>67</v>
      </c>
      <c r="D48" s="50"/>
      <c r="E48" s="41" t="s">
        <v>59</v>
      </c>
      <c r="F48" s="26">
        <f>SUM(F44:F47)</f>
        <v>4672</v>
      </c>
      <c r="H48" s="32"/>
      <c r="I48" s="32"/>
      <c r="J48" s="32"/>
      <c r="K48" s="32"/>
      <c r="L48" s="32"/>
      <c r="M48" s="70"/>
    </row>
    <row r="49" spans="2:13" x14ac:dyDescent="0.35">
      <c r="F49" s="64"/>
      <c r="H49" s="32"/>
      <c r="I49" s="32"/>
      <c r="J49" s="32"/>
      <c r="K49" s="32"/>
      <c r="L49" s="76"/>
      <c r="M49" s="73"/>
    </row>
    <row r="50" spans="2:13" x14ac:dyDescent="0.35">
      <c r="C50" s="71" t="s">
        <v>71</v>
      </c>
      <c r="E50" s="41" t="s">
        <v>59</v>
      </c>
      <c r="F50" s="21">
        <v>-280</v>
      </c>
      <c r="I50" s="35"/>
      <c r="J50" s="32"/>
      <c r="K50" s="32"/>
      <c r="L50" s="41"/>
      <c r="M50" s="67"/>
    </row>
    <row r="51" spans="2:13" x14ac:dyDescent="0.35">
      <c r="F51" s="64"/>
      <c r="I51" s="35"/>
      <c r="J51" s="32"/>
      <c r="K51" s="32"/>
      <c r="L51" s="41"/>
      <c r="M51" s="67"/>
    </row>
    <row r="52" spans="2:13" x14ac:dyDescent="0.35">
      <c r="C52" s="32" t="s">
        <v>68</v>
      </c>
      <c r="E52" s="41" t="s">
        <v>59</v>
      </c>
      <c r="F52" s="27">
        <f>F42-F50</f>
        <v>2773</v>
      </c>
      <c r="I52" s="35"/>
      <c r="J52" s="32"/>
      <c r="K52" s="32"/>
      <c r="L52" s="41"/>
      <c r="M52" s="67"/>
    </row>
    <row r="53" spans="2:13" x14ac:dyDescent="0.35">
      <c r="I53" s="68"/>
      <c r="J53" s="32"/>
      <c r="K53" s="32"/>
      <c r="L53" s="41"/>
      <c r="M53" s="69"/>
    </row>
    <row r="54" spans="2:13" x14ac:dyDescent="0.35">
      <c r="C54" s="1" t="s">
        <v>29</v>
      </c>
      <c r="E54" s="41" t="s">
        <v>59</v>
      </c>
      <c r="F54" s="61">
        <v>1665</v>
      </c>
      <c r="I54" s="35"/>
      <c r="J54" s="32"/>
      <c r="K54" s="32"/>
      <c r="L54" s="41"/>
      <c r="M54" s="70"/>
    </row>
    <row r="55" spans="2:13" x14ac:dyDescent="0.35">
      <c r="I55" s="68"/>
      <c r="J55" s="32"/>
      <c r="K55" s="32"/>
      <c r="L55" s="41"/>
      <c r="M55" s="38"/>
    </row>
    <row r="56" spans="2:13" x14ac:dyDescent="0.35">
      <c r="B56" s="13" t="s">
        <v>30</v>
      </c>
      <c r="C56" s="13"/>
      <c r="D56" s="13"/>
      <c r="E56" s="40" t="str">
        <f>$E$7</f>
        <v>Units:</v>
      </c>
      <c r="F56" s="65" cm="1">
        <f t="array" ref="F56">Last_FY</f>
        <v>46022</v>
      </c>
      <c r="I56" s="35"/>
      <c r="J56" s="32"/>
      <c r="K56" s="32"/>
      <c r="L56" s="41"/>
      <c r="M56" s="31"/>
    </row>
    <row r="57" spans="2:13" x14ac:dyDescent="0.35">
      <c r="I57" s="35"/>
      <c r="L57" s="41"/>
      <c r="M57" s="31"/>
    </row>
    <row r="58" spans="2:13" x14ac:dyDescent="0.35">
      <c r="C58" s="32" t="s">
        <v>36</v>
      </c>
      <c r="E58" s="41" t="s">
        <v>50</v>
      </c>
      <c r="F58" s="29">
        <f>F34/F38</f>
        <v>0.82202027154124335</v>
      </c>
      <c r="I58" s="35"/>
      <c r="J58" s="32"/>
      <c r="K58" s="32"/>
      <c r="L58" s="41"/>
      <c r="M58" s="31"/>
    </row>
    <row r="59" spans="2:13" x14ac:dyDescent="0.35">
      <c r="C59" s="30"/>
      <c r="F59" s="29"/>
      <c r="I59" s="35"/>
      <c r="L59" s="41"/>
      <c r="M59" s="67"/>
    </row>
    <row r="60" spans="2:13" x14ac:dyDescent="0.35">
      <c r="C60" s="32" t="s">
        <v>37</v>
      </c>
      <c r="E60" s="41" t="s">
        <v>50</v>
      </c>
      <c r="F60" s="29">
        <f>F34/F52</f>
        <v>7.7049949144969343</v>
      </c>
      <c r="I60" s="35"/>
      <c r="L60" s="41"/>
      <c r="M60" s="67"/>
    </row>
    <row r="61" spans="2:13" x14ac:dyDescent="0.35">
      <c r="C61" s="32" t="s">
        <v>38</v>
      </c>
      <c r="E61" s="41" t="s">
        <v>50</v>
      </c>
      <c r="F61" s="29">
        <f>F34/F44</f>
        <v>4.7175868619783614</v>
      </c>
      <c r="I61" s="35"/>
      <c r="L61" s="41"/>
      <c r="M61" s="31"/>
    </row>
    <row r="62" spans="2:13" x14ac:dyDescent="0.35">
      <c r="C62" s="32" t="s">
        <v>69</v>
      </c>
      <c r="E62" s="41" t="s">
        <v>50</v>
      </c>
      <c r="F62" s="29">
        <f>F34/F48</f>
        <v>4.5731915449272256</v>
      </c>
      <c r="I62" s="1"/>
      <c r="L62" s="41"/>
      <c r="M62" s="66"/>
    </row>
    <row r="64" spans="2:13" x14ac:dyDescent="0.35">
      <c r="C64" s="32" t="s">
        <v>39</v>
      </c>
      <c r="E64" s="41" t="s">
        <v>50</v>
      </c>
      <c r="F64" s="29">
        <f>F22/F54</f>
        <v>11.928799338078077</v>
      </c>
      <c r="I64" s="32"/>
      <c r="L64" s="41"/>
      <c r="M64" s="29"/>
    </row>
    <row r="65" spans="9:13" x14ac:dyDescent="0.35">
      <c r="I65" s="32"/>
      <c r="L65" s="41"/>
      <c r="M65" s="29"/>
    </row>
    <row r="66" spans="9:13" x14ac:dyDescent="0.35">
      <c r="I66" s="32"/>
      <c r="L66" s="41"/>
      <c r="M66" s="29"/>
    </row>
  </sheetData>
  <pageMargins left="0.7" right="0.7" top="0.75" bottom="0.75" header="0.3" footer="0.3"/>
  <pageSetup scale="4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538BA-3848-4975-A6F3-5EFF1EC1A4A7}">
  <sheetPr>
    <pageSetUpPr autoPageBreaks="0"/>
  </sheetPr>
  <dimension ref="B2:M103"/>
  <sheetViews>
    <sheetView showGridLines="0" topLeftCell="A84" zoomScaleNormal="100" workbookViewId="0">
      <selection activeCell="F102" sqref="F102"/>
    </sheetView>
  </sheetViews>
  <sheetFormatPr defaultColWidth="9.1796875" defaultRowHeight="15.5" x14ac:dyDescent="0.35"/>
  <cols>
    <col min="1" max="2" width="2.7265625" style="32" customWidth="1"/>
    <col min="3" max="13" width="12.7265625" style="32" customWidth="1"/>
    <col min="14" max="14" width="2.6328125" style="32" customWidth="1"/>
    <col min="15" max="19" width="10.7265625" style="32" customWidth="1"/>
    <col min="20" max="16384" width="9.1796875" style="32"/>
  </cols>
  <sheetData>
    <row r="2" spans="2:13" ht="18.5" x14ac:dyDescent="0.45">
      <c r="B2" s="12" t="s">
        <v>72</v>
      </c>
    </row>
    <row r="3" spans="2:13" x14ac:dyDescent="0.35">
      <c r="B3" s="32" t="s">
        <v>153</v>
      </c>
    </row>
    <row r="5" spans="2:13" x14ac:dyDescent="0.35">
      <c r="B5" s="13" t="s">
        <v>73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</row>
    <row r="7" spans="2:13" x14ac:dyDescent="0.35">
      <c r="C7" s="32" t="s">
        <v>74</v>
      </c>
    </row>
    <row r="9" spans="2:13" x14ac:dyDescent="0.35">
      <c r="C9" s="32" t="s">
        <v>75</v>
      </c>
    </row>
    <row r="11" spans="2:13" x14ac:dyDescent="0.35">
      <c r="C11" s="32" t="s">
        <v>76</v>
      </c>
    </row>
    <row r="13" spans="2:13" x14ac:dyDescent="0.35">
      <c r="C13" s="79" t="s">
        <v>77</v>
      </c>
      <c r="D13" s="80"/>
      <c r="E13" s="80"/>
      <c r="F13" s="80"/>
    </row>
    <row r="14" spans="2:13" x14ac:dyDescent="0.35">
      <c r="D14" s="50"/>
      <c r="E14" s="50"/>
      <c r="F14" s="50"/>
    </row>
    <row r="15" spans="2:13" x14ac:dyDescent="0.35">
      <c r="C15" s="68" t="s">
        <v>28</v>
      </c>
      <c r="F15" s="81">
        <v>700</v>
      </c>
    </row>
    <row r="16" spans="2:13" x14ac:dyDescent="0.35">
      <c r="C16" s="35" t="s">
        <v>78</v>
      </c>
      <c r="F16" s="82">
        <v>70</v>
      </c>
    </row>
    <row r="17" spans="2:13" x14ac:dyDescent="0.35">
      <c r="C17" s="8" t="s">
        <v>79</v>
      </c>
      <c r="D17" s="50"/>
      <c r="E17" s="50"/>
      <c r="F17" s="52">
        <f>+F15-F16</f>
        <v>630</v>
      </c>
    </row>
    <row r="18" spans="2:13" x14ac:dyDescent="0.35">
      <c r="F18" s="83"/>
    </row>
    <row r="19" spans="2:13" x14ac:dyDescent="0.35">
      <c r="C19" s="1" t="s">
        <v>80</v>
      </c>
    </row>
    <row r="20" spans="2:13" x14ac:dyDescent="0.35">
      <c r="C20" s="35" t="s">
        <v>81</v>
      </c>
      <c r="F20" s="82">
        <v>165</v>
      </c>
      <c r="H20" s="32" t="s">
        <v>82</v>
      </c>
    </row>
    <row r="21" spans="2:13" x14ac:dyDescent="0.35">
      <c r="C21" s="35" t="s">
        <v>83</v>
      </c>
      <c r="F21" s="82">
        <v>75</v>
      </c>
      <c r="H21" s="32" t="s">
        <v>84</v>
      </c>
    </row>
    <row r="22" spans="2:13" x14ac:dyDescent="0.35">
      <c r="C22" s="35" t="s">
        <v>85</v>
      </c>
      <c r="F22" s="82">
        <v>50</v>
      </c>
      <c r="H22" s="32" t="s">
        <v>86</v>
      </c>
    </row>
    <row r="23" spans="2:13" x14ac:dyDescent="0.35">
      <c r="C23" s="35" t="s">
        <v>87</v>
      </c>
      <c r="F23" s="82">
        <v>30</v>
      </c>
    </row>
    <row r="24" spans="2:13" x14ac:dyDescent="0.35">
      <c r="C24" s="54" t="s">
        <v>88</v>
      </c>
      <c r="D24" s="50"/>
      <c r="E24" s="50"/>
      <c r="F24" s="26">
        <f>SUM(F20:F23)</f>
        <v>320</v>
      </c>
      <c r="H24" s="32" t="s">
        <v>89</v>
      </c>
    </row>
    <row r="25" spans="2:13" x14ac:dyDescent="0.35">
      <c r="H25" s="32" t="s">
        <v>90</v>
      </c>
    </row>
    <row r="26" spans="2:13" x14ac:dyDescent="0.35">
      <c r="C26" s="68" t="s">
        <v>33</v>
      </c>
      <c r="F26" s="53">
        <f>+F17-F24</f>
        <v>310</v>
      </c>
    </row>
    <row r="27" spans="2:13" x14ac:dyDescent="0.35">
      <c r="C27" s="68"/>
      <c r="H27" s="32" t="s">
        <v>91</v>
      </c>
    </row>
    <row r="28" spans="2:13" x14ac:dyDescent="0.35">
      <c r="C28" s="68"/>
      <c r="H28" s="32" t="s">
        <v>92</v>
      </c>
    </row>
    <row r="29" spans="2:13" x14ac:dyDescent="0.35">
      <c r="C29" s="68"/>
    </row>
    <row r="30" spans="2:13" x14ac:dyDescent="0.35">
      <c r="B30" s="13" t="s">
        <v>93</v>
      </c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</row>
    <row r="32" spans="2:13" x14ac:dyDescent="0.35">
      <c r="C32" s="32" t="s">
        <v>94</v>
      </c>
    </row>
    <row r="34" spans="3:13" x14ac:dyDescent="0.35">
      <c r="C34" s="32" t="s">
        <v>95</v>
      </c>
    </row>
    <row r="35" spans="3:13" x14ac:dyDescent="0.35">
      <c r="C35" s="32" t="s">
        <v>155</v>
      </c>
    </row>
    <row r="37" spans="3:13" x14ac:dyDescent="0.35">
      <c r="C37" s="32" t="s">
        <v>96</v>
      </c>
    </row>
    <row r="38" spans="3:13" x14ac:dyDescent="0.35">
      <c r="C38" s="32" t="s">
        <v>97</v>
      </c>
    </row>
    <row r="40" spans="3:13" x14ac:dyDescent="0.35">
      <c r="C40" s="1" t="s">
        <v>156</v>
      </c>
    </row>
    <row r="42" spans="3:13" x14ac:dyDescent="0.35">
      <c r="C42" s="79" t="s">
        <v>98</v>
      </c>
      <c r="D42" s="80"/>
      <c r="E42" s="80"/>
      <c r="F42" s="84" t="s">
        <v>99</v>
      </c>
      <c r="G42" s="84" t="s">
        <v>100</v>
      </c>
      <c r="H42" s="37"/>
      <c r="I42" s="79" t="s">
        <v>101</v>
      </c>
      <c r="J42" s="80"/>
      <c r="K42" s="80"/>
      <c r="L42" s="84" t="s">
        <v>99</v>
      </c>
      <c r="M42" s="84" t="s">
        <v>100</v>
      </c>
    </row>
    <row r="43" spans="3:13" x14ac:dyDescent="0.35">
      <c r="C43" s="1" t="s">
        <v>102</v>
      </c>
      <c r="F43" s="81">
        <v>4118</v>
      </c>
      <c r="G43" s="53">
        <f>+F48</f>
        <v>3925</v>
      </c>
      <c r="I43" s="1" t="s">
        <v>103</v>
      </c>
      <c r="L43" s="81">
        <v>4124</v>
      </c>
      <c r="M43" s="53">
        <f>+L49</f>
        <v>3958</v>
      </c>
    </row>
    <row r="44" spans="3:13" x14ac:dyDescent="0.35">
      <c r="C44" s="35" t="s">
        <v>104</v>
      </c>
      <c r="F44" s="82">
        <v>-66</v>
      </c>
      <c r="G44" s="82">
        <v>729</v>
      </c>
      <c r="I44" s="35" t="s">
        <v>105</v>
      </c>
      <c r="L44" s="82">
        <v>95</v>
      </c>
      <c r="M44" s="82">
        <v>93</v>
      </c>
    </row>
    <row r="45" spans="3:13" x14ac:dyDescent="0.35">
      <c r="C45" s="35" t="s">
        <v>106</v>
      </c>
      <c r="F45" s="82">
        <v>112</v>
      </c>
      <c r="G45" s="82">
        <v>55</v>
      </c>
      <c r="I45" s="35" t="s">
        <v>107</v>
      </c>
      <c r="L45" s="82">
        <v>146</v>
      </c>
      <c r="M45" s="82">
        <v>149</v>
      </c>
    </row>
    <row r="46" spans="3:13" x14ac:dyDescent="0.35">
      <c r="C46" s="35" t="s">
        <v>108</v>
      </c>
      <c r="F46" s="82">
        <v>6</v>
      </c>
      <c r="G46" s="82">
        <v>11</v>
      </c>
      <c r="I46" s="35" t="s">
        <v>109</v>
      </c>
      <c r="L46" s="82">
        <v>-168</v>
      </c>
      <c r="M46" s="82">
        <v>626</v>
      </c>
    </row>
    <row r="47" spans="3:13" x14ac:dyDescent="0.35">
      <c r="C47" s="35" t="s">
        <v>110</v>
      </c>
      <c r="F47" s="82">
        <v>-245</v>
      </c>
      <c r="G47" s="82">
        <v>-279</v>
      </c>
      <c r="I47" s="35" t="s">
        <v>108</v>
      </c>
      <c r="L47" s="85">
        <v>6</v>
      </c>
      <c r="M47" s="85">
        <v>11</v>
      </c>
    </row>
    <row r="48" spans="3:13" x14ac:dyDescent="0.35">
      <c r="C48" s="8" t="s">
        <v>111</v>
      </c>
      <c r="D48" s="50"/>
      <c r="E48" s="50"/>
      <c r="F48" s="28">
        <f>SUM(F43:F47)</f>
        <v>3925</v>
      </c>
      <c r="G48" s="28">
        <f>SUM(G43:G47)</f>
        <v>4441</v>
      </c>
      <c r="I48" s="35" t="s">
        <v>110</v>
      </c>
      <c r="L48" s="82">
        <v>-245</v>
      </c>
      <c r="M48" s="82">
        <v>-279</v>
      </c>
    </row>
    <row r="49" spans="2:13" x14ac:dyDescent="0.35">
      <c r="I49" s="8" t="s">
        <v>112</v>
      </c>
      <c r="J49" s="50"/>
      <c r="K49" s="50"/>
      <c r="L49" s="28">
        <f>SUM(L43:L48)</f>
        <v>3958</v>
      </c>
      <c r="M49" s="28">
        <f>SUM(M43:M48)</f>
        <v>4558</v>
      </c>
    </row>
    <row r="50" spans="2:13" x14ac:dyDescent="0.35">
      <c r="C50" s="1" t="s">
        <v>113</v>
      </c>
      <c r="F50" s="86">
        <f>+F44/F43</f>
        <v>-1.6027197668771247E-2</v>
      </c>
      <c r="G50" s="86">
        <f>+G44/G43</f>
        <v>0.18573248407643311</v>
      </c>
    </row>
    <row r="51" spans="2:13" x14ac:dyDescent="0.35">
      <c r="F51" s="88"/>
      <c r="G51" s="88"/>
      <c r="I51" s="35"/>
      <c r="L51" s="31"/>
      <c r="M51" s="31"/>
    </row>
    <row r="52" spans="2:13" x14ac:dyDescent="0.35">
      <c r="C52" s="1" t="s">
        <v>114</v>
      </c>
      <c r="F52" s="1" t="str">
        <f>IF(F48&lt;L49,"Underfunded","Overfunded")</f>
        <v>Underfunded</v>
      </c>
      <c r="G52" s="1" t="str">
        <f>IF(G48&lt;M49,"Underfunded","Overfunded")</f>
        <v>Underfunded</v>
      </c>
      <c r="I52" s="35"/>
      <c r="L52" s="31"/>
      <c r="M52" s="31"/>
    </row>
    <row r="54" spans="2:13" x14ac:dyDescent="0.35">
      <c r="B54" s="13" t="s">
        <v>115</v>
      </c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</row>
    <row r="56" spans="2:13" x14ac:dyDescent="0.35">
      <c r="C56" s="1" t="s">
        <v>116</v>
      </c>
    </row>
    <row r="57" spans="2:13" x14ac:dyDescent="0.35">
      <c r="C57" s="32" t="s">
        <v>117</v>
      </c>
    </row>
    <row r="59" spans="2:13" x14ac:dyDescent="0.35">
      <c r="C59" s="1" t="s">
        <v>118</v>
      </c>
    </row>
    <row r="60" spans="2:13" x14ac:dyDescent="0.35">
      <c r="C60" s="32" t="s">
        <v>119</v>
      </c>
    </row>
    <row r="62" spans="2:13" x14ac:dyDescent="0.35">
      <c r="C62" s="1" t="s">
        <v>120</v>
      </c>
    </row>
    <row r="63" spans="2:13" x14ac:dyDescent="0.35">
      <c r="C63" s="32" t="s">
        <v>121</v>
      </c>
    </row>
    <row r="65" spans="2:13" x14ac:dyDescent="0.35">
      <c r="C65" s="1" t="s">
        <v>122</v>
      </c>
    </row>
    <row r="67" spans="2:13" x14ac:dyDescent="0.35">
      <c r="C67" s="1" t="s">
        <v>123</v>
      </c>
    </row>
    <row r="69" spans="2:13" x14ac:dyDescent="0.35">
      <c r="C69" s="1" t="s">
        <v>124</v>
      </c>
    </row>
    <row r="71" spans="2:13" x14ac:dyDescent="0.35">
      <c r="C71" s="1" t="s">
        <v>125</v>
      </c>
    </row>
    <row r="73" spans="2:13" x14ac:dyDescent="0.35">
      <c r="B73" s="13" t="s">
        <v>126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</row>
    <row r="75" spans="2:13" x14ac:dyDescent="0.35">
      <c r="C75" s="32" t="s">
        <v>157</v>
      </c>
    </row>
    <row r="77" spans="2:13" x14ac:dyDescent="0.35">
      <c r="C77" s="79" t="s">
        <v>127</v>
      </c>
      <c r="D77" s="80"/>
      <c r="E77" s="80"/>
      <c r="F77" s="84" t="s">
        <v>99</v>
      </c>
      <c r="G77" s="84" t="s">
        <v>100</v>
      </c>
    </row>
    <row r="78" spans="2:13" x14ac:dyDescent="0.35">
      <c r="C78" s="35" t="s">
        <v>128</v>
      </c>
      <c r="F78" s="63">
        <f>-L44</f>
        <v>-95</v>
      </c>
      <c r="G78" s="63">
        <f>-M44</f>
        <v>-93</v>
      </c>
      <c r="I78" s="32" t="s">
        <v>129</v>
      </c>
    </row>
    <row r="79" spans="2:13" x14ac:dyDescent="0.35">
      <c r="C79" s="35" t="s">
        <v>130</v>
      </c>
      <c r="F79" s="31">
        <f>-L45</f>
        <v>-146</v>
      </c>
      <c r="G79" s="31">
        <f>-M45</f>
        <v>-149</v>
      </c>
      <c r="I79" s="32" t="s">
        <v>131</v>
      </c>
    </row>
    <row r="80" spans="2:13" x14ac:dyDescent="0.35">
      <c r="C80" s="87" t="s">
        <v>132</v>
      </c>
      <c r="F80" s="82">
        <v>246</v>
      </c>
      <c r="G80" s="82">
        <v>248</v>
      </c>
    </row>
    <row r="81" spans="3:9" x14ac:dyDescent="0.35">
      <c r="C81" s="35" t="s">
        <v>133</v>
      </c>
      <c r="F81" s="82">
        <v>-82</v>
      </c>
      <c r="G81" s="82">
        <v>-62</v>
      </c>
      <c r="I81" s="32" t="s">
        <v>134</v>
      </c>
    </row>
    <row r="82" spans="3:9" x14ac:dyDescent="0.35">
      <c r="C82" s="35" t="s">
        <v>135</v>
      </c>
      <c r="F82" s="82">
        <v>11</v>
      </c>
      <c r="G82" s="82">
        <v>11</v>
      </c>
    </row>
    <row r="83" spans="3:9" x14ac:dyDescent="0.35">
      <c r="C83" s="35" t="s">
        <v>136</v>
      </c>
      <c r="F83" s="82">
        <v>-4</v>
      </c>
      <c r="G83" s="82">
        <v>-1</v>
      </c>
      <c r="I83" s="32" t="s">
        <v>137</v>
      </c>
    </row>
    <row r="84" spans="3:9" x14ac:dyDescent="0.35">
      <c r="C84" s="8" t="s">
        <v>138</v>
      </c>
      <c r="D84" s="50"/>
      <c r="E84" s="50"/>
      <c r="F84" s="28">
        <f>SUM(F78:F83)</f>
        <v>-70</v>
      </c>
      <c r="G84" s="28">
        <f>SUM(G78:G83)</f>
        <v>-46</v>
      </c>
    </row>
    <row r="86" spans="3:9" x14ac:dyDescent="0.35">
      <c r="C86" s="1" t="s">
        <v>139</v>
      </c>
    </row>
    <row r="87" spans="3:9" x14ac:dyDescent="0.35">
      <c r="C87" s="32" t="s">
        <v>140</v>
      </c>
    </row>
    <row r="89" spans="3:9" x14ac:dyDescent="0.35">
      <c r="C89" s="1" t="s">
        <v>141</v>
      </c>
    </row>
    <row r="91" spans="3:9" x14ac:dyDescent="0.35">
      <c r="C91" s="1" t="s">
        <v>142</v>
      </c>
    </row>
    <row r="92" spans="3:9" x14ac:dyDescent="0.35">
      <c r="C92" s="32" t="s">
        <v>143</v>
      </c>
    </row>
    <row r="93" spans="3:9" x14ac:dyDescent="0.35">
      <c r="C93" s="32" t="s">
        <v>144</v>
      </c>
    </row>
    <row r="95" spans="3:9" x14ac:dyDescent="0.35">
      <c r="C95" s="1" t="s">
        <v>145</v>
      </c>
    </row>
    <row r="96" spans="3:9" x14ac:dyDescent="0.35">
      <c r="C96" s="1" t="s">
        <v>146</v>
      </c>
    </row>
    <row r="97" spans="3:8" x14ac:dyDescent="0.35">
      <c r="C97" s="1"/>
    </row>
    <row r="98" spans="3:8" x14ac:dyDescent="0.35">
      <c r="C98" s="32" t="s">
        <v>154</v>
      </c>
    </row>
    <row r="100" spans="3:8" x14ac:dyDescent="0.35">
      <c r="C100" s="79" t="s">
        <v>147</v>
      </c>
      <c r="D100" s="80"/>
      <c r="E100" s="80"/>
      <c r="F100" s="84" t="s">
        <v>99</v>
      </c>
      <c r="G100" s="84" t="s">
        <v>100</v>
      </c>
    </row>
    <row r="101" spans="3:8" x14ac:dyDescent="0.35">
      <c r="C101" s="35" t="s">
        <v>148</v>
      </c>
      <c r="F101" s="63">
        <f>-F84</f>
        <v>70</v>
      </c>
      <c r="G101" s="63">
        <f t="shared" ref="G101" si="0">-G84</f>
        <v>46</v>
      </c>
      <c r="H101" s="32" t="s">
        <v>149</v>
      </c>
    </row>
    <row r="102" spans="3:8" x14ac:dyDescent="0.35">
      <c r="C102" s="35" t="s">
        <v>150</v>
      </c>
      <c r="F102" s="31">
        <f>-F45</f>
        <v>-112</v>
      </c>
      <c r="G102" s="31">
        <f t="shared" ref="G102" si="1">-G45</f>
        <v>-55</v>
      </c>
      <c r="H102" s="32" t="s">
        <v>151</v>
      </c>
    </row>
    <row r="103" spans="3:8" x14ac:dyDescent="0.35">
      <c r="C103" s="8" t="s">
        <v>152</v>
      </c>
      <c r="D103" s="50"/>
      <c r="E103" s="50"/>
      <c r="F103" s="28">
        <f>SUM(F101:F102)</f>
        <v>-42</v>
      </c>
      <c r="G103" s="28">
        <f>SUM(G101:G102)</f>
        <v>-9</v>
      </c>
    </row>
  </sheetData>
  <pageMargins left="0.7" right="0.7" top="0.75" bottom="0.75" header="0.3" footer="0.3"/>
  <pageSetup scale="53" orientation="portrait" r:id="rId1"/>
  <rowBreaks count="2" manualBreakCount="2">
    <brk id="29" max="13" man="1"/>
    <brk id="72" max="13" man="1"/>
  </rowBreaks>
  <colBreaks count="1" manualBreakCount="1">
    <brk id="20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ML</vt:lpstr>
      <vt:lpstr>Pension_Acct</vt:lpstr>
      <vt:lpstr>ML!Basic_Shares</vt:lpstr>
      <vt:lpstr>ML!Company_Name</vt:lpstr>
      <vt:lpstr>ML!Diluted_Shares</vt:lpstr>
      <vt:lpstr>Last_FY</vt:lpstr>
      <vt:lpstr>ML!Print_Area</vt:lpstr>
      <vt:lpstr>Pension_Acct!Print_Area</vt:lpstr>
      <vt:lpstr>ML!Share_Price</vt:lpstr>
      <vt:lpstr>ML!Tax_Rate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2026-08-25T15:35:06Z</dcterms:modified>
</cp:coreProperties>
</file>