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BIWS Dropbox\Brian DeChesare\BIWS-All-Courses\100-Bonus-Case-Studies\107-Valuation-Discounted-Cash-Flow\107-30-Dividend-Discount-Model\"/>
    </mc:Choice>
  </mc:AlternateContent>
  <xr:revisionPtr revIDLastSave="0" documentId="13_ncr:1_{7AECD969-2C8B-457A-A8A7-9C880205E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TM_DDM" sheetId="14" r:id="rId1"/>
  </sheets>
  <definedNames>
    <definedName name="Company_Name">DTM_DDM!$G$8</definedName>
    <definedName name="Diluted_Shares">DTM_DDM!$G$12</definedName>
    <definedName name="Discount_Rate">DTM_DDM!$G$20</definedName>
    <definedName name="Hist_Year">DTM_DDM!$G$23</definedName>
    <definedName name="LT_Average_Steel_Price">DTM_DDM!#REF!</definedName>
    <definedName name="LT_COGS_Pct_Sales">DTM_DDM!#REF!</definedName>
    <definedName name="LT_Utilization_Rate">DTM_DDM!#REF!</definedName>
    <definedName name="_xlnm.Print_Area" localSheetId="0">DTM_DDM!$A$1:$T$166</definedName>
    <definedName name="Share_Price">DTM_DDM!$G$11</definedName>
    <definedName name="Tax_Rate">DTM_DDM!$G$14</definedName>
    <definedName name="Ticker">DTM_DDM!$G$9</definedName>
    <definedName name="Units">DTM_DDM!$G$22</definedName>
    <definedName name="Val_Date">DTM_DDM!$G$10</definedName>
  </definedNames>
  <calcPr calcId="191029" calcMode="autoNoTable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4" l="1"/>
  <c r="H123" i="14"/>
  <c r="I125" i="14" s="1"/>
  <c r="M52" i="14"/>
  <c r="G20" i="14"/>
  <c r="D159" i="14"/>
  <c r="D160" i="14" s="1"/>
  <c r="D161" i="14" s="1"/>
  <c r="D162" i="14" s="1"/>
  <c r="D163" i="14" s="1"/>
  <c r="D164" i="14" s="1"/>
  <c r="D165" i="14" s="1"/>
  <c r="D158" i="14"/>
  <c r="F144" i="14"/>
  <c r="G144" i="14" s="1"/>
  <c r="H144" i="14" s="1"/>
  <c r="I144" i="14" s="1"/>
  <c r="J144" i="14" s="1"/>
  <c r="K144" i="14" s="1"/>
  <c r="L144" i="14" s="1"/>
  <c r="M144" i="14" s="1"/>
  <c r="N144" i="14" s="1"/>
  <c r="O144" i="14" s="1"/>
  <c r="D146" i="14"/>
  <c r="D147" i="14" s="1"/>
  <c r="D148" i="14" s="1"/>
  <c r="D149" i="14" s="1"/>
  <c r="D150" i="14" s="1"/>
  <c r="D151" i="14" s="1"/>
  <c r="D152" i="14" s="1"/>
  <c r="D153" i="14" s="1"/>
  <c r="H52" i="14"/>
  <c r="O52" i="14"/>
  <c r="N52" i="14"/>
  <c r="L52" i="14"/>
  <c r="M10" i="14"/>
  <c r="K128" i="14"/>
  <c r="L128" i="14"/>
  <c r="M128" i="14"/>
  <c r="N128" i="14"/>
  <c r="H78" i="14"/>
  <c r="I78" i="14"/>
  <c r="G78" i="14"/>
  <c r="H75" i="14"/>
  <c r="I75" i="14"/>
  <c r="G75" i="14"/>
  <c r="J116" i="14"/>
  <c r="K116" i="14" s="1"/>
  <c r="L116" i="14" s="1"/>
  <c r="M116" i="14" s="1"/>
  <c r="N116" i="14" s="1"/>
  <c r="O116" i="14" s="1"/>
  <c r="P116" i="14" s="1"/>
  <c r="Q116" i="14" s="1"/>
  <c r="R116" i="14" s="1"/>
  <c r="S116" i="14" s="1"/>
  <c r="J114" i="14"/>
  <c r="K114" i="14" s="1"/>
  <c r="L114" i="14" s="1"/>
  <c r="M114" i="14" s="1"/>
  <c r="N114" i="14" s="1"/>
  <c r="O114" i="14" s="1"/>
  <c r="P114" i="14" s="1"/>
  <c r="Q114" i="14" s="1"/>
  <c r="R114" i="14" s="1"/>
  <c r="S114" i="14" s="1"/>
  <c r="J98" i="14"/>
  <c r="K98" i="14" s="1"/>
  <c r="L98" i="14" s="1"/>
  <c r="M98" i="14" s="1"/>
  <c r="N98" i="14" s="1"/>
  <c r="O98" i="14" s="1"/>
  <c r="P98" i="14" s="1"/>
  <c r="Q98" i="14" s="1"/>
  <c r="R98" i="14" s="1"/>
  <c r="S98" i="14" s="1"/>
  <c r="H74" i="14"/>
  <c r="I74" i="14"/>
  <c r="J97" i="14"/>
  <c r="H69" i="14"/>
  <c r="I69" i="14"/>
  <c r="G71" i="14"/>
  <c r="H72" i="14" s="1"/>
  <c r="J105" i="14"/>
  <c r="K105" i="14" s="1"/>
  <c r="L105" i="14" s="1"/>
  <c r="M105" i="14" s="1"/>
  <c r="N105" i="14" s="1"/>
  <c r="O105" i="14" s="1"/>
  <c r="P105" i="14" s="1"/>
  <c r="Q105" i="14" s="1"/>
  <c r="R105" i="14" s="1"/>
  <c r="S105" i="14" s="1"/>
  <c r="I71" i="14"/>
  <c r="H71" i="14"/>
  <c r="I72" i="14" s="1"/>
  <c r="J65" i="14"/>
  <c r="K65" i="14" s="1"/>
  <c r="I38" i="14"/>
  <c r="J38" i="14" s="1"/>
  <c r="J50" i="14"/>
  <c r="K52" i="14" s="1"/>
  <c r="H47" i="14"/>
  <c r="H50" i="14" s="1"/>
  <c r="H128" i="14" s="1"/>
  <c r="I47" i="14"/>
  <c r="I50" i="14" s="1"/>
  <c r="I128" i="14" s="1"/>
  <c r="G47" i="14"/>
  <c r="G50" i="14" s="1"/>
  <c r="G128" i="14" s="1"/>
  <c r="H87" i="14"/>
  <c r="I87" i="14"/>
  <c r="H88" i="14"/>
  <c r="H113" i="14" s="1"/>
  <c r="I88" i="14"/>
  <c r="I113" i="14" s="1"/>
  <c r="H89" i="14"/>
  <c r="I89" i="14"/>
  <c r="H90" i="14"/>
  <c r="I90" i="14"/>
  <c r="H111" i="14"/>
  <c r="H77" i="14" s="1"/>
  <c r="I111" i="14"/>
  <c r="I77" i="14" s="1"/>
  <c r="H112" i="14"/>
  <c r="I112" i="14"/>
  <c r="H115" i="14"/>
  <c r="I115" i="14"/>
  <c r="G87" i="14"/>
  <c r="G88" i="14"/>
  <c r="G113" i="14" s="1"/>
  <c r="G89" i="14"/>
  <c r="G90" i="14"/>
  <c r="G111" i="14"/>
  <c r="G77" i="14" s="1"/>
  <c r="G112" i="14"/>
  <c r="G115" i="14"/>
  <c r="G14" i="14"/>
  <c r="H34" i="14"/>
  <c r="H63" i="14" s="1"/>
  <c r="I34" i="14"/>
  <c r="I63" i="14" s="1"/>
  <c r="G34" i="14"/>
  <c r="G63" i="14" s="1"/>
  <c r="H53" i="14" l="1"/>
  <c r="I52" i="14"/>
  <c r="I53" i="14" s="1"/>
  <c r="J128" i="14"/>
  <c r="J75" i="14"/>
  <c r="K75" i="14" s="1"/>
  <c r="L75" i="14" s="1"/>
  <c r="M75" i="14" s="1"/>
  <c r="M117" i="14" s="1"/>
  <c r="J53" i="14"/>
  <c r="K38" i="14"/>
  <c r="J77" i="14"/>
  <c r="K77" i="14" s="1"/>
  <c r="L77" i="14" s="1"/>
  <c r="M77" i="14" s="1"/>
  <c r="N77" i="14" s="1"/>
  <c r="O77" i="14" s="1"/>
  <c r="P77" i="14" s="1"/>
  <c r="Q77" i="14" s="1"/>
  <c r="R77" i="14" s="1"/>
  <c r="S77" i="14" s="1"/>
  <c r="J63" i="14"/>
  <c r="K63" i="14" s="1"/>
  <c r="N115" i="14"/>
  <c r="O115" i="14"/>
  <c r="M115" i="14"/>
  <c r="L115" i="14"/>
  <c r="S115" i="14"/>
  <c r="K115" i="14"/>
  <c r="R115" i="14"/>
  <c r="J115" i="14"/>
  <c r="Q115" i="14"/>
  <c r="P115" i="14"/>
  <c r="J96" i="14"/>
  <c r="J90" i="14"/>
  <c r="K90" i="14"/>
  <c r="L65" i="14"/>
  <c r="J47" i="14"/>
  <c r="J120" i="14" s="1"/>
  <c r="J39" i="14"/>
  <c r="I85" i="14"/>
  <c r="I92" i="14" s="1"/>
  <c r="H85" i="14"/>
  <c r="H92" i="14" s="1"/>
  <c r="N75" i="14" l="1"/>
  <c r="O75" i="14" s="1"/>
  <c r="K117" i="14"/>
  <c r="L117" i="14"/>
  <c r="J117" i="14"/>
  <c r="L38" i="14"/>
  <c r="J111" i="14"/>
  <c r="J118" i="14"/>
  <c r="M65" i="14"/>
  <c r="L90" i="14"/>
  <c r="L63" i="14"/>
  <c r="I48" i="14"/>
  <c r="K39" i="14"/>
  <c r="H100" i="14"/>
  <c r="H104" i="14" s="1"/>
  <c r="H137" i="14"/>
  <c r="H80" i="14" s="1"/>
  <c r="I100" i="14"/>
  <c r="I104" i="14" s="1"/>
  <c r="I137" i="14"/>
  <c r="I80" i="14" s="1"/>
  <c r="I94" i="14"/>
  <c r="I93" i="14"/>
  <c r="H93" i="14"/>
  <c r="R23" i="14"/>
  <c r="N117" i="14" l="1"/>
  <c r="M38" i="14"/>
  <c r="P75" i="14"/>
  <c r="O117" i="14"/>
  <c r="N65" i="14"/>
  <c r="M90" i="14"/>
  <c r="M63" i="14"/>
  <c r="L39" i="14"/>
  <c r="H48" i="14"/>
  <c r="I106" i="14"/>
  <c r="H106" i="14"/>
  <c r="H110" i="14" s="1"/>
  <c r="H121" i="14" s="1"/>
  <c r="H126" i="14" s="1"/>
  <c r="N38" i="14" l="1"/>
  <c r="Q75" i="14"/>
  <c r="P117" i="14"/>
  <c r="N63" i="14"/>
  <c r="O65" i="14"/>
  <c r="N90" i="14"/>
  <c r="H131" i="14"/>
  <c r="M39" i="14"/>
  <c r="H124" i="14"/>
  <c r="H129" i="14"/>
  <c r="I110" i="14"/>
  <c r="I121" i="14" s="1"/>
  <c r="I126" i="14" s="1"/>
  <c r="I107" i="14"/>
  <c r="E156" i="14"/>
  <c r="F156" i="14"/>
  <c r="H132" i="14" l="1"/>
  <c r="H134" i="14"/>
  <c r="H135" i="14" s="1"/>
  <c r="R75" i="14"/>
  <c r="Q117" i="14"/>
  <c r="O63" i="14"/>
  <c r="P65" i="14"/>
  <c r="O90" i="14"/>
  <c r="I131" i="14"/>
  <c r="N39" i="14"/>
  <c r="I124" i="14"/>
  <c r="I129" i="14"/>
  <c r="I132" i="14" l="1"/>
  <c r="I134" i="14"/>
  <c r="I135" i="14" s="1"/>
  <c r="S75" i="14"/>
  <c r="S117" i="14" s="1"/>
  <c r="R117" i="14"/>
  <c r="Q65" i="14"/>
  <c r="P90" i="14"/>
  <c r="P63" i="14"/>
  <c r="G156" i="14"/>
  <c r="B6" i="14"/>
  <c r="B2" i="14"/>
  <c r="Q63" i="14" l="1"/>
  <c r="R65" i="14"/>
  <c r="Q90" i="14"/>
  <c r="H156" i="14"/>
  <c r="S65" i="14" l="1"/>
  <c r="S90" i="14" s="1"/>
  <c r="R90" i="14"/>
  <c r="R63" i="14"/>
  <c r="I156" i="14"/>
  <c r="B83" i="14"/>
  <c r="S63" i="14" l="1"/>
  <c r="J156" i="14"/>
  <c r="K156" i="14" l="1"/>
  <c r="E155" i="14"/>
  <c r="F83" i="14"/>
  <c r="L156" i="14" l="1"/>
  <c r="M156" i="14" l="1"/>
  <c r="O156" i="14" l="1"/>
  <c r="N156" i="14"/>
  <c r="M23" i="14" l="1"/>
  <c r="G85" i="14" l="1"/>
  <c r="G92" i="14" s="1"/>
  <c r="G137" i="14" s="1"/>
  <c r="G80" i="14" s="1"/>
  <c r="I39" i="14"/>
  <c r="H39" i="14"/>
  <c r="I35" i="14"/>
  <c r="H35" i="14"/>
  <c r="F29" i="14"/>
  <c r="G93" i="14" l="1"/>
  <c r="G100" i="14"/>
  <c r="G104" i="14" s="1"/>
  <c r="H94" i="14"/>
  <c r="G106" i="14" l="1"/>
  <c r="G110" i="14" s="1"/>
  <c r="G121" i="14" s="1"/>
  <c r="G126" i="14" s="1"/>
  <c r="G131" i="14" l="1"/>
  <c r="G124" i="14"/>
  <c r="G129" i="14"/>
  <c r="H107" i="14"/>
  <c r="K47" i="14"/>
  <c r="K120" i="14" s="1"/>
  <c r="J28" i="14"/>
  <c r="G28" i="14"/>
  <c r="I83" i="14"/>
  <c r="J83" i="14" s="1"/>
  <c r="K83" i="14" s="1"/>
  <c r="L83" i="14" s="1"/>
  <c r="M83" i="14" s="1"/>
  <c r="N83" i="14" s="1"/>
  <c r="O83" i="14" s="1"/>
  <c r="P83" i="14" s="1"/>
  <c r="Q83" i="14" s="1"/>
  <c r="R83" i="14" s="1"/>
  <c r="S83" i="14" s="1"/>
  <c r="S29" i="14" s="1"/>
  <c r="G132" i="14" l="1"/>
  <c r="G134" i="14"/>
  <c r="G135" i="14" s="1"/>
  <c r="G139" i="14"/>
  <c r="H139" i="14"/>
  <c r="L47" i="14"/>
  <c r="L120" i="14" s="1"/>
  <c r="J29" i="14"/>
  <c r="K29" i="14"/>
  <c r="N29" i="14"/>
  <c r="L29" i="14"/>
  <c r="P29" i="14"/>
  <c r="Q29" i="14"/>
  <c r="R29" i="14"/>
  <c r="M29" i="14"/>
  <c r="I29" i="14"/>
  <c r="O29" i="14"/>
  <c r="H83" i="14"/>
  <c r="N41" i="14" l="1"/>
  <c r="N56" i="14" s="1"/>
  <c r="N87" i="14" s="1"/>
  <c r="M41" i="14"/>
  <c r="K41" i="14"/>
  <c r="J41" i="14"/>
  <c r="L41" i="14"/>
  <c r="I139" i="14"/>
  <c r="H138" i="14"/>
  <c r="I138" i="14"/>
  <c r="M47" i="14"/>
  <c r="M120" i="14" s="1"/>
  <c r="G83" i="14"/>
  <c r="G29" i="14" s="1"/>
  <c r="G41" i="14" s="1"/>
  <c r="G60" i="14" s="1"/>
  <c r="H29" i="14"/>
  <c r="N59" i="14" l="1"/>
  <c r="N88" i="14" s="1"/>
  <c r="N113" i="14" s="1"/>
  <c r="J56" i="14"/>
  <c r="J87" i="14" s="1"/>
  <c r="J59" i="14"/>
  <c r="J88" i="14" s="1"/>
  <c r="J113" i="14" s="1"/>
  <c r="K56" i="14"/>
  <c r="K87" i="14" s="1"/>
  <c r="K59" i="14"/>
  <c r="K88" i="14" s="1"/>
  <c r="K113" i="14" s="1"/>
  <c r="M56" i="14"/>
  <c r="M87" i="14" s="1"/>
  <c r="M59" i="14"/>
  <c r="M88" i="14" s="1"/>
  <c r="M113" i="14" s="1"/>
  <c r="L56" i="14"/>
  <c r="L87" i="14" s="1"/>
  <c r="L59" i="14"/>
  <c r="L88" i="14" s="1"/>
  <c r="L113" i="14" s="1"/>
  <c r="G43" i="14"/>
  <c r="G57" i="14"/>
  <c r="H41" i="14"/>
  <c r="H60" i="14" s="1"/>
  <c r="I41" i="14"/>
  <c r="I60" i="14" s="1"/>
  <c r="N47" i="14"/>
  <c r="N120" i="14" s="1"/>
  <c r="I43" i="14" l="1"/>
  <c r="J43" i="14" s="1"/>
  <c r="I57" i="14"/>
  <c r="H43" i="14"/>
  <c r="H44" i="14" s="1"/>
  <c r="H57" i="14"/>
  <c r="O47" i="14"/>
  <c r="O120" i="14" s="1"/>
  <c r="I44" i="14" l="1"/>
  <c r="K43" i="14"/>
  <c r="J34" i="14"/>
  <c r="J62" i="14" s="1"/>
  <c r="J89" i="14" s="1"/>
  <c r="J35" i="14" l="1"/>
  <c r="J85" i="14"/>
  <c r="J92" i="14" s="1"/>
  <c r="J100" i="14" s="1"/>
  <c r="L43" i="14"/>
  <c r="K34" i="14"/>
  <c r="K62" i="14" s="1"/>
  <c r="K89" i="14" s="1"/>
  <c r="J102" i="14" l="1"/>
  <c r="J93" i="14"/>
  <c r="J137" i="14"/>
  <c r="J138" i="14" s="1"/>
  <c r="J94" i="14"/>
  <c r="K35" i="14"/>
  <c r="K85" i="14"/>
  <c r="K92" i="14" s="1"/>
  <c r="M43" i="14"/>
  <c r="L34" i="14"/>
  <c r="L62" i="14" s="1"/>
  <c r="L89" i="14" s="1"/>
  <c r="J112" i="14" l="1"/>
  <c r="J119" i="14"/>
  <c r="J104" i="14"/>
  <c r="J106" i="14" s="1"/>
  <c r="J110" i="14" s="1"/>
  <c r="J139" i="14"/>
  <c r="K93" i="14"/>
  <c r="K94" i="14"/>
  <c r="K137" i="14"/>
  <c r="K138" i="14" s="1"/>
  <c r="L35" i="14"/>
  <c r="L85" i="14"/>
  <c r="N43" i="14"/>
  <c r="M34" i="14"/>
  <c r="M62" i="14" s="1"/>
  <c r="M89" i="14" s="1"/>
  <c r="J121" i="14" l="1"/>
  <c r="J107" i="14"/>
  <c r="K139" i="14"/>
  <c r="L92" i="14"/>
  <c r="M35" i="14"/>
  <c r="M85" i="14"/>
  <c r="O43" i="14"/>
  <c r="N34" i="14"/>
  <c r="N62" i="14" s="1"/>
  <c r="N89" i="14" s="1"/>
  <c r="J129" i="14" l="1"/>
  <c r="J123" i="14"/>
  <c r="J126" i="14" s="1"/>
  <c r="M92" i="14"/>
  <c r="L93" i="14"/>
  <c r="L94" i="14"/>
  <c r="L137" i="14"/>
  <c r="N35" i="14"/>
  <c r="N85" i="14"/>
  <c r="P43" i="14"/>
  <c r="J125" i="14" l="1"/>
  <c r="J131" i="14"/>
  <c r="J132" i="14" s="1"/>
  <c r="J134" i="14"/>
  <c r="J135" i="14" s="1"/>
  <c r="N92" i="14"/>
  <c r="L138" i="14"/>
  <c r="L139" i="14"/>
  <c r="M94" i="14"/>
  <c r="M93" i="14"/>
  <c r="M137" i="14"/>
  <c r="Q43" i="14"/>
  <c r="J68" i="14" l="1"/>
  <c r="K97" i="14" s="1"/>
  <c r="J71" i="14"/>
  <c r="K96" i="14"/>
  <c r="K111" i="14" s="1"/>
  <c r="J80" i="14"/>
  <c r="N93" i="14"/>
  <c r="N137" i="14"/>
  <c r="N94" i="14"/>
  <c r="M138" i="14"/>
  <c r="M139" i="14"/>
  <c r="R43" i="14"/>
  <c r="K118" i="14" l="1"/>
  <c r="K100" i="14"/>
  <c r="K102" i="14" s="1"/>
  <c r="K112" i="14" s="1"/>
  <c r="K104" i="14"/>
  <c r="K106" i="14" s="1"/>
  <c r="K119" i="14"/>
  <c r="N138" i="14"/>
  <c r="N139" i="14"/>
  <c r="S43" i="14"/>
  <c r="K110" i="14" l="1"/>
  <c r="K121" i="14" s="1"/>
  <c r="K107" i="14"/>
  <c r="K129" i="14" l="1"/>
  <c r="K123" i="14"/>
  <c r="K126" i="14" s="1"/>
  <c r="K131" i="14" l="1"/>
  <c r="K132" i="14" s="1"/>
  <c r="K125" i="14"/>
  <c r="K134" i="14" l="1"/>
  <c r="K68" i="14" s="1"/>
  <c r="L97" i="14" s="1"/>
  <c r="K71" i="14" l="1"/>
  <c r="K135" i="14"/>
  <c r="L96" i="14" l="1"/>
  <c r="L111" i="14" s="1"/>
  <c r="K80" i="14"/>
  <c r="L118" i="14" l="1"/>
  <c r="L100" i="14"/>
  <c r="L102" i="14" s="1"/>
  <c r="L112" i="14" s="1"/>
  <c r="L119" i="14" l="1"/>
  <c r="L104" i="14"/>
  <c r="L106" i="14" s="1"/>
  <c r="L110" i="14" s="1"/>
  <c r="L121" i="14"/>
  <c r="L107" i="14"/>
  <c r="L123" i="14" l="1"/>
  <c r="L125" i="14" s="1"/>
  <c r="L129" i="14"/>
  <c r="L131" i="14" l="1"/>
  <c r="L134" i="14" s="1"/>
  <c r="L68" i="14" s="1"/>
  <c r="M97" i="14" s="1"/>
  <c r="L126" i="14"/>
  <c r="L71" i="14" l="1"/>
  <c r="M96" i="14" s="1"/>
  <c r="L135" i="14"/>
  <c r="L132" i="14"/>
  <c r="M100" i="14" l="1"/>
  <c r="M102" i="14" s="1"/>
  <c r="M104" i="14" s="1"/>
  <c r="M106" i="14" s="1"/>
  <c r="M111" i="14"/>
  <c r="M118" i="14"/>
  <c r="L80" i="14"/>
  <c r="M107" i="14" l="1"/>
  <c r="M110" i="14"/>
  <c r="M112" i="14"/>
  <c r="M119" i="14"/>
  <c r="M121" i="14" l="1"/>
  <c r="M129" i="14" l="1"/>
  <c r="M123" i="14"/>
  <c r="M125" i="14" s="1"/>
  <c r="M126" i="14" l="1"/>
  <c r="M131" i="14"/>
  <c r="M134" i="14" s="1"/>
  <c r="M132" i="14" l="1"/>
  <c r="M71" i="14"/>
  <c r="M135" i="14"/>
  <c r="M68" i="14"/>
  <c r="N97" i="14" s="1"/>
  <c r="N96" i="14" l="1"/>
  <c r="N100" i="14" s="1"/>
  <c r="N102" i="14" s="1"/>
  <c r="M80" i="14"/>
  <c r="N111" i="14" l="1"/>
  <c r="N118" i="14"/>
  <c r="N104" i="14"/>
  <c r="N106" i="14" s="1"/>
  <c r="N112" i="14"/>
  <c r="N119" i="14"/>
  <c r="N110" i="14" l="1"/>
  <c r="N121" i="14" s="1"/>
  <c r="N107" i="14"/>
  <c r="N123" i="14" l="1"/>
  <c r="N125" i="14" s="1"/>
  <c r="N129" i="14"/>
  <c r="N126" i="14" l="1"/>
  <c r="N131" i="14"/>
  <c r="N134" i="14" s="1"/>
  <c r="N132" i="14" l="1"/>
  <c r="N68" i="14"/>
  <c r="N71" i="14"/>
  <c r="N80" i="14" s="1"/>
  <c r="N135" i="14"/>
  <c r="O96" i="14" l="1"/>
  <c r="O97" i="14"/>
  <c r="O118" i="14" l="1"/>
  <c r="O111" i="14"/>
  <c r="O38" i="14" l="1"/>
  <c r="O41" i="14" s="1"/>
  <c r="P47" i="14"/>
  <c r="P120" i="14" s="1"/>
  <c r="O39" i="14" l="1"/>
  <c r="O56" i="14"/>
  <c r="O87" i="14" s="1"/>
  <c r="O34" i="14"/>
  <c r="O59" i="14"/>
  <c r="O88" i="14" s="1"/>
  <c r="O113" i="14" s="1"/>
  <c r="O62" i="14" l="1"/>
  <c r="O89" i="14" s="1"/>
  <c r="O35" i="14"/>
  <c r="O85" i="14"/>
  <c r="O92" i="14" l="1"/>
  <c r="O100" i="14" s="1"/>
  <c r="O93" i="14" l="1"/>
  <c r="O94" i="14"/>
  <c r="O137" i="14"/>
  <c r="O138" i="14" s="1"/>
  <c r="O102" i="14"/>
  <c r="O104" i="14" s="1"/>
  <c r="O106" i="14" s="1"/>
  <c r="O139" i="14" l="1"/>
  <c r="O110" i="14"/>
  <c r="O107" i="14"/>
  <c r="O119" i="14"/>
  <c r="O112" i="14"/>
  <c r="O121" i="14" l="1"/>
  <c r="O128" i="14" l="1"/>
  <c r="O50" i="14" s="1"/>
  <c r="P52" i="14" s="1"/>
  <c r="P38" i="14" s="1"/>
  <c r="O123" i="14"/>
  <c r="O131" i="14" l="1"/>
  <c r="O132" i="14" s="1"/>
  <c r="O126" i="14"/>
  <c r="O134" i="14"/>
  <c r="O125" i="14"/>
  <c r="P41" i="14"/>
  <c r="Q47" i="14"/>
  <c r="Q120" i="14" s="1"/>
  <c r="P39" i="14"/>
  <c r="P56" i="14" l="1"/>
  <c r="P87" i="14" s="1"/>
  <c r="P34" i="14"/>
  <c r="P59" i="14"/>
  <c r="P88" i="14" s="1"/>
  <c r="P113" i="14" s="1"/>
  <c r="O71" i="14"/>
  <c r="O80" i="14" s="1"/>
  <c r="O135" i="14"/>
  <c r="O68" i="14"/>
  <c r="P97" i="14" l="1"/>
  <c r="P35" i="14"/>
  <c r="P62" i="14"/>
  <c r="P89" i="14" s="1"/>
  <c r="P85" i="14"/>
  <c r="P96" i="14"/>
  <c r="P92" i="14" l="1"/>
  <c r="P94" i="14" s="1"/>
  <c r="P118" i="14"/>
  <c r="P111" i="14"/>
  <c r="P93" i="14" l="1"/>
  <c r="P137" i="14"/>
  <c r="P100" i="14"/>
  <c r="P102" i="14" s="1"/>
  <c r="P104" i="14" s="1"/>
  <c r="P106" i="14" s="1"/>
  <c r="P139" i="14"/>
  <c r="P138" i="14"/>
  <c r="P107" i="14" l="1"/>
  <c r="P110" i="14"/>
  <c r="P112" i="14"/>
  <c r="P119" i="14"/>
  <c r="P121" i="14" l="1"/>
  <c r="P128" i="14" l="1"/>
  <c r="P50" i="14" s="1"/>
  <c r="Q52" i="14" s="1"/>
  <c r="Q38" i="14" s="1"/>
  <c r="P123" i="14"/>
  <c r="P131" i="14" l="1"/>
  <c r="P126" i="14"/>
  <c r="P125" i="14"/>
  <c r="P132" i="14"/>
  <c r="P134" i="14"/>
  <c r="P68" i="14" s="1"/>
  <c r="Q41" i="14"/>
  <c r="R47" i="14"/>
  <c r="R120" i="14" s="1"/>
  <c r="Q39" i="14"/>
  <c r="Q97" i="14" l="1"/>
  <c r="Q56" i="14"/>
  <c r="Q87" i="14" s="1"/>
  <c r="Q59" i="14"/>
  <c r="Q88" i="14" s="1"/>
  <c r="Q113" i="14" s="1"/>
  <c r="Q34" i="14"/>
  <c r="P135" i="14"/>
  <c r="P71" i="14"/>
  <c r="P80" i="14" s="1"/>
  <c r="Q96" i="14" l="1"/>
  <c r="Q35" i="14"/>
  <c r="Q62" i="14"/>
  <c r="Q89" i="14" s="1"/>
  <c r="Q85" i="14"/>
  <c r="Q92" i="14" l="1"/>
  <c r="Q93" i="14" s="1"/>
  <c r="Q118" i="14"/>
  <c r="Q111" i="14"/>
  <c r="Q100" i="14" l="1"/>
  <c r="Q137" i="14"/>
  <c r="Q94" i="14"/>
  <c r="Q102" i="14"/>
  <c r="Q139" i="14"/>
  <c r="Q138" i="14"/>
  <c r="Q112" i="14" l="1"/>
  <c r="Q119" i="14"/>
  <c r="Q104" i="14"/>
  <c r="Q106" i="14" s="1"/>
  <c r="Q110" i="14" l="1"/>
  <c r="Q121" i="14" s="1"/>
  <c r="Q107" i="14"/>
  <c r="Q123" i="14" l="1"/>
  <c r="Q126" i="14" s="1"/>
  <c r="Q128" i="14"/>
  <c r="Q50" i="14" s="1"/>
  <c r="R52" i="14" s="1"/>
  <c r="R38" i="14" s="1"/>
  <c r="Q131" i="14" l="1"/>
  <c r="Q132" i="14"/>
  <c r="Q134" i="14"/>
  <c r="R39" i="14"/>
  <c r="R41" i="14"/>
  <c r="S47" i="14"/>
  <c r="S120" i="14" s="1"/>
  <c r="Q125" i="14"/>
  <c r="Q135" i="14" l="1"/>
  <c r="Q71" i="14"/>
  <c r="Q80" i="14" s="1"/>
  <c r="R59" i="14"/>
  <c r="R88" i="14" s="1"/>
  <c r="R113" i="14" s="1"/>
  <c r="R56" i="14"/>
  <c r="R87" i="14" s="1"/>
  <c r="R34" i="14"/>
  <c r="Q68" i="14"/>
  <c r="R97" i="14" l="1"/>
  <c r="R96" i="14"/>
  <c r="R35" i="14"/>
  <c r="R85" i="14"/>
  <c r="R62" i="14"/>
  <c r="R89" i="14" s="1"/>
  <c r="R92" i="14" l="1"/>
  <c r="R111" i="14"/>
  <c r="R118" i="14"/>
  <c r="R137" i="14" l="1"/>
  <c r="R94" i="14"/>
  <c r="R100" i="14"/>
  <c r="R93" i="14"/>
  <c r="R102" i="14" l="1"/>
  <c r="R139" i="14"/>
  <c r="R138" i="14"/>
  <c r="R112" i="14" l="1"/>
  <c r="R119" i="14"/>
  <c r="R104" i="14"/>
  <c r="R106" i="14" s="1"/>
  <c r="R110" i="14" l="1"/>
  <c r="R121" i="14" s="1"/>
  <c r="R107" i="14"/>
  <c r="R128" i="14" l="1"/>
  <c r="R50" i="14" s="1"/>
  <c r="S52" i="14" s="1"/>
  <c r="S38" i="14" s="1"/>
  <c r="R123" i="14"/>
  <c r="R126" i="14" s="1"/>
  <c r="R131" i="14" l="1"/>
  <c r="R132" i="14" s="1"/>
  <c r="R125" i="14"/>
  <c r="S39" i="14"/>
  <c r="S41" i="14"/>
  <c r="R134" i="14" l="1"/>
  <c r="R68" i="14" s="1"/>
  <c r="S97" i="14" s="1"/>
  <c r="S59" i="14"/>
  <c r="S88" i="14" s="1"/>
  <c r="S113" i="14" s="1"/>
  <c r="S56" i="14"/>
  <c r="S87" i="14" s="1"/>
  <c r="S34" i="14"/>
  <c r="R135" i="14"/>
  <c r="R71" i="14"/>
  <c r="R80" i="14" s="1"/>
  <c r="S96" i="14" l="1"/>
  <c r="S35" i="14"/>
  <c r="S85" i="14"/>
  <c r="S62" i="14"/>
  <c r="S89" i="14" s="1"/>
  <c r="S92" i="14" l="1"/>
  <c r="S111" i="14"/>
  <c r="S118" i="14"/>
  <c r="S100" i="14" l="1"/>
  <c r="S94" i="14"/>
  <c r="S137" i="14"/>
  <c r="S93" i="14"/>
  <c r="S139" i="14" l="1"/>
  <c r="S138" i="14"/>
  <c r="S102" i="14"/>
  <c r="S119" i="14" l="1"/>
  <c r="S112" i="14"/>
  <c r="S104" i="14"/>
  <c r="S106" i="14" s="1"/>
  <c r="S107" i="14" l="1"/>
  <c r="R14" i="14"/>
  <c r="S110" i="14"/>
  <c r="S121" i="14" s="1"/>
  <c r="S128" i="14" l="1"/>
  <c r="S50" i="14" s="1"/>
  <c r="S123" i="14"/>
  <c r="S131" i="14" s="1"/>
  <c r="R15" i="14"/>
  <c r="R17" i="14"/>
  <c r="M15" i="14"/>
  <c r="M17" i="14"/>
  <c r="S126" i="14" l="1"/>
  <c r="S132" i="14"/>
  <c r="S134" i="14"/>
  <c r="S68" i="14" s="1"/>
  <c r="S125" i="14"/>
  <c r="R18" i="14"/>
  <c r="R19" i="14" s="1"/>
  <c r="M18" i="14"/>
  <c r="M19" i="14" s="1"/>
  <c r="M25" i="14" l="1"/>
  <c r="M21" i="14"/>
  <c r="R25" i="14"/>
  <c r="R21" i="14"/>
  <c r="S135" i="14"/>
  <c r="S71" i="14"/>
  <c r="S80" i="14" s="1"/>
  <c r="D156" i="14" l="1"/>
  <c r="R26" i="14"/>
  <c r="D144" i="14"/>
  <c r="M26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M10" authorId="0" shapeId="0" xr:uid="{6A8730A9-F46E-48B9-9231-2C7E0D1AC9E9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Based on median P/E multiples of "Quick Comps" on Capital IQ as of the valuation date.</t>
        </r>
      </text>
    </comment>
    <comment ref="G12" authorId="0" shapeId="0" xr:uid="{DA1C80CC-7F50-4883-915A-B25A4F8F0CF7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Taken from most recent 10-K as a simplification.</t>
        </r>
      </text>
    </comment>
    <comment ref="G14" authorId="0" shapeId="0" xr:uid="{206FD20F-ECA4-4130-8532-6053F73624A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Average tax rate over the past 3 years from the filings.</t>
        </r>
      </text>
    </comment>
    <comment ref="G16" authorId="0" shapeId="0" xr:uid="{72975692-2804-460A-AE00-839C9B216079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10-Year UST yield as of valuation date.</t>
        </r>
      </text>
    </comment>
    <comment ref="G18" authorId="0" shapeId="0" xr:uid="{40A563EF-92E7-4980-AF1D-E7AB9BA8C968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Historical Levered Beta is 0.8, but all the comparables have numbers between 1 and 2, so we're adjusting this upward. Seems to be a huge range of possible values.</t>
        </r>
      </text>
    </comment>
    <comment ref="G20" authorId="0" shapeId="0" xr:uid="{1D9C6101-C2A5-45D4-8151-C16B12B91720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10-year UST yield + current ERP of 6.0% * estimated 0.8 Levered Beta.</t>
        </r>
      </text>
    </comment>
    <comment ref="G38" authorId="0" shapeId="0" xr:uid="{98621E8B-9B6D-41B9-868E-2521263613A6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Rough estimate from older presentations/filings and Capital IQ.</t>
        </r>
      </text>
    </comment>
    <comment ref="H38" authorId="0" shapeId="0" xr:uid="{91A57E1D-2371-41AD-ACCB-20B88C649519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Rough estimate from older presentations/filings and Capital IQ.</t>
        </r>
      </text>
    </comment>
    <comment ref="I38" authorId="0" shapeId="0" xr:uid="{6C1C4128-4BFA-4A1F-90B1-91A82FE492A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Per 10-K. No information on annual capacity in previous periods.</t>
        </r>
      </text>
    </comment>
    <comment ref="J48" authorId="0" shapeId="0" xr:uid="{8AF27895-014E-4B8C-8CA1-1AEC9786F879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Per the $30 - $40M maintenance CapEx guidance in the investor presentation.</t>
        </r>
      </text>
    </comment>
    <comment ref="J50" authorId="0" shapeId="0" xr:uid="{B5FB19A2-A85F-46C9-953F-566E5BC6CC39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Per investor presentation. $575M - $650M target for the year.</t>
        </r>
      </text>
    </comment>
    <comment ref="K50" authorId="0" shapeId="0" xr:uid="{6887639F-425A-4EA7-92E3-5D641ACEC811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Midpoint of 2023 -2027 guidance in investor presentation.</t>
        </r>
      </text>
    </comment>
    <comment ref="L50" authorId="0" shapeId="0" xr:uid="{155A0BE6-EE7B-4A94-B8E5-4122EFC413F0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Midpoint of 2023 -2027 guidance in investor presentation.</t>
        </r>
      </text>
    </comment>
    <comment ref="M50" authorId="0" shapeId="0" xr:uid="{CD8833D6-071A-4EBC-8AE1-C9A4BC68D66C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Midpoint of 2023 -2027 guidance in investor presentation.</t>
        </r>
      </text>
    </comment>
    <comment ref="N50" authorId="0" shapeId="0" xr:uid="{2FFA9FB8-AEE6-4965-960F-A359BBBE626B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Midpoint of 2023 -2027 guidance in investor presentation.</t>
        </r>
      </text>
    </comment>
    <comment ref="J52" authorId="0" shapeId="0" xr:uid="{19623743-8046-4F98-A0DF-85F79BA71A8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Per investor presentation pg. 13. Total of 1.8 Bcf / d expansion plus 20% for Appalachia Gathering.</t>
        </r>
      </text>
    </comment>
    <comment ref="H71" authorId="0" shapeId="0" xr:uid="{917E2975-234D-49F4-B9E5-4BD7EBE8FB4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Grouping together LT and ST Debt.</t>
        </r>
      </text>
    </comment>
    <comment ref="I71" authorId="0" shapeId="0" xr:uid="{69C22477-163F-4998-9586-0B6FD020AD4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Grouping together LT and ST Debt.</t>
        </r>
      </text>
    </comment>
  </commentList>
</comments>
</file>

<file path=xl/sharedStrings.xml><?xml version="1.0" encoding="utf-8"?>
<sst xmlns="http://schemas.openxmlformats.org/spreadsheetml/2006/main" count="209" uniqueCount="120">
  <si>
    <t>Company Name:</t>
  </si>
  <si>
    <t>Current Share Price:</t>
  </si>
  <si>
    <t>Diluted Shares Outstanding:</t>
  </si>
  <si>
    <t>Premium / (Discount) to Current:</t>
  </si>
  <si>
    <t>Date</t>
  </si>
  <si>
    <t>Risk-Free Rate:</t>
  </si>
  <si>
    <t>Equity Risk Premium:</t>
  </si>
  <si>
    <t>Name</t>
  </si>
  <si>
    <t>%</t>
  </si>
  <si>
    <t>Conversion Units:</t>
  </si>
  <si>
    <t>Ticker:</t>
  </si>
  <si>
    <t>($ USD in Millions Except Per Share Amounts in USD as Stated and Per Unit Amounts)</t>
  </si>
  <si>
    <t>#</t>
  </si>
  <si>
    <t>Last Fiscal Year:</t>
  </si>
  <si>
    <t>$ / Share</t>
  </si>
  <si>
    <t>M Shares</t>
  </si>
  <si>
    <t>Projected:</t>
  </si>
  <si>
    <t>Historical:</t>
  </si>
  <si>
    <t>Revenue:</t>
  </si>
  <si>
    <t>Operating Income (EBIT):</t>
  </si>
  <si>
    <t>(+) Depreciation &amp; Amortization:</t>
  </si>
  <si>
    <t>EBITDA:</t>
  </si>
  <si>
    <t>Assumptions and Drivers:</t>
  </si>
  <si>
    <t>Net Sales by Segment:</t>
  </si>
  <si>
    <t>Total Consolidated Sales:</t>
  </si>
  <si>
    <t>Annual Growth Rate:</t>
  </si>
  <si>
    <t>Capital Expenditures:</t>
  </si>
  <si>
    <t>Maintenance CapEx:</t>
  </si>
  <si>
    <t>Growth CapEx:</t>
  </si>
  <si>
    <t>Capacity Growth from CapEx:</t>
  </si>
  <si>
    <t>Capacity Growth per CapEx Spending:</t>
  </si>
  <si>
    <t>Expenses:</t>
  </si>
  <si>
    <t>Units:</t>
  </si>
  <si>
    <t>$ M</t>
  </si>
  <si>
    <t>% Revenue:</t>
  </si>
  <si>
    <t>Operating Margin:</t>
  </si>
  <si>
    <t>Growth Rate:</t>
  </si>
  <si>
    <t>Terminal Value - Multiples Method:</t>
  </si>
  <si>
    <t>Terminal Value - Perpetuity Growth Method:</t>
  </si>
  <si>
    <t>(+) PV of Terminal Value:</t>
  </si>
  <si>
    <t>Expected Long-Term GDP Growth:</t>
  </si>
  <si>
    <t>Baseline Terminal Value:</t>
  </si>
  <si>
    <t>Implied Equity Value:</t>
  </si>
  <si>
    <t>Sensitivity Analyses:</t>
  </si>
  <si>
    <t>Valuation Date:</t>
  </si>
  <si>
    <t>(-) Interest Expense:</t>
  </si>
  <si>
    <t>(-) Net (Income) / Loss to NCI:</t>
  </si>
  <si>
    <t>Dividends:</t>
  </si>
  <si>
    <t>Discount Rate (Cost of Equity):</t>
  </si>
  <si>
    <t>Baseline Terminal Net Income Growth:</t>
  </si>
  <si>
    <t>Implied Terminal P / E Multiple:</t>
  </si>
  <si>
    <t>(+) PV of Dividends:</t>
  </si>
  <si>
    <t>% of Implied Eq. Val. from TV:</t>
  </si>
  <si>
    <t>Implied Terminal NI Growth Rate:</t>
  </si>
  <si>
    <t>Baseline Terminal P / E Multiple:</t>
  </si>
  <si>
    <t>Terminal Net Income Growth Rate:</t>
  </si>
  <si>
    <t>(+) Other Income / (Expense):</t>
  </si>
  <si>
    <t>Terminal P / E Multiple:</t>
  </si>
  <si>
    <t>Implied Share Price from DDM:</t>
  </si>
  <si>
    <t>Implied Share Price from DDM</t>
  </si>
  <si>
    <t>Margin:</t>
  </si>
  <si>
    <t>Pipeline:</t>
  </si>
  <si>
    <t>Gathering:</t>
  </si>
  <si>
    <t>Bcf / d</t>
  </si>
  <si>
    <t>$ / Bcf</t>
  </si>
  <si>
    <t>$ K / Bcf</t>
  </si>
  <si>
    <t>(-) Book Taxes:</t>
  </si>
  <si>
    <t>(-) Operations &amp; Maintenance:</t>
  </si>
  <si>
    <t>Operations &amp; Maintenance:</t>
  </si>
  <si>
    <t>Depreciation &amp; Amortization:</t>
  </si>
  <si>
    <t>D&amp;A per Total Capacity:</t>
  </si>
  <si>
    <t>Non-Income Taxes:</t>
  </si>
  <si>
    <t>Other Items:</t>
  </si>
  <si>
    <t>(-) Depreciation &amp; Amortization:</t>
  </si>
  <si>
    <t>(-) Non-Income Taxes:</t>
  </si>
  <si>
    <t>(-) Other Items:</t>
  </si>
  <si>
    <t>(+) Equity Investment Earnings:</t>
  </si>
  <si>
    <t>Distributable Cash Flow:</t>
  </si>
  <si>
    <t>(+) Normalized Net Income to Parent:</t>
  </si>
  <si>
    <t>(+) Interest Expense:</t>
  </si>
  <si>
    <t>(+) Book Income Taxes:</t>
  </si>
  <si>
    <t>(+) Other Adjustments:</t>
  </si>
  <si>
    <t>(-) Equity Investment Earnings:</t>
  </si>
  <si>
    <t>(-) NCI Depreciation &amp; Amortization:</t>
  </si>
  <si>
    <t>(+) Equity Investment Dividends:</t>
  </si>
  <si>
    <t>(-) Cash Interest Expense:</t>
  </si>
  <si>
    <t>(-) Cash Taxes:</t>
  </si>
  <si>
    <t>(-) Maintenance CapEx:</t>
  </si>
  <si>
    <t>Maintenance CapEx per Total Capacity:</t>
  </si>
  <si>
    <t>% Distributable Cash Flow:</t>
  </si>
  <si>
    <t>Bcf / d / $ M</t>
  </si>
  <si>
    <t>Cash Retained:</t>
  </si>
  <si>
    <t>$ M / Bcf / d</t>
  </si>
  <si>
    <t>Bcf</t>
  </si>
  <si>
    <t>New Debt Issued:</t>
  </si>
  <si>
    <t>OpEx per Annual Capacity:</t>
  </si>
  <si>
    <t>Cash Balance:</t>
  </si>
  <si>
    <t>Interest Rate:</t>
  </si>
  <si>
    <t>Debt Balance:</t>
  </si>
  <si>
    <t>Total Annual Capacity:</t>
  </si>
  <si>
    <t>Pipeline + Gathering - Daily Capacity:</t>
  </si>
  <si>
    <t>DT Midstream, Inc.</t>
  </si>
  <si>
    <t>DTM</t>
  </si>
  <si>
    <t>Equity Investment Earnings Growth Rate:</t>
  </si>
  <si>
    <t>Pre-Tax Income:</t>
  </si>
  <si>
    <t>Net Income:</t>
  </si>
  <si>
    <t>Net Income to Parent:</t>
  </si>
  <si>
    <t>Equity Investment Dividends % Earnings:</t>
  </si>
  <si>
    <t>Cash Interest % Interest Expense:</t>
  </si>
  <si>
    <t>Cash Taxes % Book Taxes:</t>
  </si>
  <si>
    <t>Capital Structure &amp; Distributable Cash Flow:</t>
  </si>
  <si>
    <t>Forward P / E of Target:</t>
  </si>
  <si>
    <t>Median Forward P / E of Comps:</t>
  </si>
  <si>
    <t>% Growth Rate:</t>
  </si>
  <si>
    <t>Levered Beta:</t>
  </si>
  <si>
    <t>Debt / EBITDA:</t>
  </si>
  <si>
    <t>x</t>
  </si>
  <si>
    <t>Effective Tax Rate (Book Taxes):</t>
  </si>
  <si>
    <t>Dividend Coverage Ratio:</t>
  </si>
  <si>
    <t>Average Fee per Bcf: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</si>
</sst>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_);_(@_)"/>
    <numFmt numFmtId="165" formatCode="0.0%;\(0.0%\)"/>
    <numFmt numFmtId="166" formatCode="_(* #,##0.0_);_(* \(#,##0.0\);_(* &quot;-&quot;?_);_(@_)"/>
    <numFmt numFmtId="167" formatCode="_(0.0\ \x_);\(0.0\ \x\);_(&quot;–&quot;_);_(@_)"/>
    <numFmt numFmtId="168" formatCode="_(0.0%_);\(0.0%\);_(&quot;–&quot;_);_(@_)"/>
    <numFmt numFmtId="169" formatCode="0.0\ \x"/>
    <numFmt numFmtId="170" formatCode="_(* #,##0.000_);_(* \(#,##0.000\);_(* &quot;-&quot;???_);_(@_)"/>
    <numFmt numFmtId="171" formatCode="_(* #,##0_);_(* \(#,##0\);_(* &quot;-&quot;????_);_(@_)"/>
    <numFmt numFmtId="172" formatCode="_(0.0%_);\(0.0%\);_(&quot;–&quot;_)_%;_(@_)_%"/>
    <numFmt numFmtId="173" formatCode="0.00%;\(0.00%\)"/>
    <numFmt numFmtId="174" formatCode="_(#,##0.00%_);\(#,##0.00%\);_(&quot;–&quot;_)_%;_(@_)_%"/>
    <numFmt numFmtId="175" formatCode="yyyy\-mm\-dd"/>
    <numFmt numFmtId="176" formatCode="&quot;FY&quot;yy"/>
    <numFmt numFmtId="177" formatCode="_(* #,##0.000_);_(* \(#,##0.000\);_(* &quot;-&quot;?_);_(@_)"/>
    <numFmt numFmtId="178" formatCode="_(* #,##0_);_(* \(#,##0\);_(* &quot;-&quot;?_);_(@_)"/>
    <numFmt numFmtId="179" formatCode="0.00%_);\(0.00%\);\-_%_);@_)"/>
    <numFmt numFmtId="180" formatCode="0.00\ \x;\(0.00\ \x\)"/>
    <numFmt numFmtId="181" formatCode="_(&quot;$&quot;* #,##0_);_(&quot;$&quot;* \(#,##0\);_(&quot;$&quot;* &quot;-&quot;?_);_(@_)"/>
    <numFmt numFmtId="182" formatCode="_(0%_);\(0%\);_(&quot;–&quot;_);_(@_)"/>
    <numFmt numFmtId="183" formatCode="_(&quot;$&quot;* #,##0_);_(&quot;$&quot;* \(#,##0\);_(&quot;$&quot;* &quot;-&quot;??_);_(@_)"/>
    <numFmt numFmtId="184" formatCode="_(* #,##0.00_);_(* \(#,##0.00\);_(* &quot;-&quot;?_);_(@_)"/>
    <numFmt numFmtId="185" formatCode="_(* #,##0_);_(* \(#,##0\);_(* &quot;-&quot;??_);_(@_)"/>
    <numFmt numFmtId="186" formatCode="_(&quot;$&quot;* #,##0.000_);_(&quot;$&quot;* \(#,##0.000\);_(&quot;$&quot;* &quot;-&quot;???_);_(@_)"/>
    <numFmt numFmtId="187" formatCode="_(&quot;$&quot;* #,##0.000_);_(&quot;$&quot;* \(#,##0.000\);_(&quot;$&quot;* &quot;-&quot;??_);_(@_)"/>
    <numFmt numFmtId="189" formatCode="_(* #,##0.00_);_(* \(#,##0.00\);_(* &quot;-&quot;????_);_(@_)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B2B2B2"/>
      </bottom>
      <diagonal/>
    </border>
  </borders>
  <cellStyleXfs count="8">
    <xf numFmtId="0" fontId="0" fillId="0" borderId="0"/>
    <xf numFmtId="0" fontId="5" fillId="0" borderId="0"/>
    <xf numFmtId="0" fontId="8" fillId="2" borderId="7" applyNumberFormat="0" applyFont="0" applyAlignment="0" applyProtection="0"/>
    <xf numFmtId="0" fontId="8" fillId="0" borderId="0"/>
    <xf numFmtId="0" fontId="8" fillId="0" borderId="0"/>
    <xf numFmtId="0" fontId="13" fillId="0" borderId="0" applyAlignment="0"/>
    <xf numFmtId="0" fontId="8" fillId="0" borderId="0"/>
    <xf numFmtId="0" fontId="2" fillId="0" borderId="0"/>
  </cellStyleXfs>
  <cellXfs count="138">
    <xf numFmtId="0" fontId="0" fillId="0" borderId="0" xfId="0"/>
    <xf numFmtId="0" fontId="9" fillId="0" borderId="0" xfId="1" applyFont="1"/>
    <xf numFmtId="0" fontId="11" fillId="0" borderId="0" xfId="1" applyFont="1"/>
    <xf numFmtId="164" fontId="9" fillId="0" borderId="0" xfId="1" applyNumberFormat="1" applyFont="1"/>
    <xf numFmtId="169" fontId="9" fillId="0" borderId="0" xfId="1" applyNumberFormat="1" applyFont="1"/>
    <xf numFmtId="166" fontId="9" fillId="0" borderId="0" xfId="1" applyNumberFormat="1" applyFont="1"/>
    <xf numFmtId="0" fontId="9" fillId="0" borderId="0" xfId="1" applyFont="1" applyAlignment="1">
      <alignment horizontal="left" indent="1"/>
    </xf>
    <xf numFmtId="0" fontId="11" fillId="5" borderId="2" xfId="1" applyFont="1" applyFill="1" applyBorder="1" applyAlignment="1">
      <alignment horizontal="left"/>
    </xf>
    <xf numFmtId="44" fontId="11" fillId="6" borderId="3" xfId="1" applyNumberFormat="1" applyFont="1" applyFill="1" applyBorder="1"/>
    <xf numFmtId="0" fontId="11" fillId="5" borderId="5" xfId="1" applyFont="1" applyFill="1" applyBorder="1"/>
    <xf numFmtId="0" fontId="16" fillId="0" borderId="0" xfId="0" applyFont="1"/>
    <xf numFmtId="0" fontId="17" fillId="0" borderId="0" xfId="1" applyFont="1"/>
    <xf numFmtId="0" fontId="18" fillId="0" borderId="0" xfId="0" applyFont="1"/>
    <xf numFmtId="0" fontId="19" fillId="4" borderId="0" xfId="1" applyFont="1" applyFill="1"/>
    <xf numFmtId="0" fontId="19" fillId="4" borderId="5" xfId="1" applyFont="1" applyFill="1" applyBorder="1"/>
    <xf numFmtId="14" fontId="19" fillId="4" borderId="5" xfId="1" applyNumberFormat="1" applyFont="1" applyFill="1" applyBorder="1" applyAlignment="1">
      <alignment horizontal="center"/>
    </xf>
    <xf numFmtId="0" fontId="20" fillId="3" borderId="11" xfId="2" applyFont="1" applyFill="1" applyBorder="1" applyAlignment="1">
      <alignment horizontal="centerContinuous"/>
    </xf>
    <xf numFmtId="44" fontId="20" fillId="3" borderId="9" xfId="0" applyNumberFormat="1" applyFont="1" applyFill="1" applyBorder="1"/>
    <xf numFmtId="170" fontId="20" fillId="3" borderId="8" xfId="0" applyNumberFormat="1" applyFont="1" applyFill="1" applyBorder="1"/>
    <xf numFmtId="171" fontId="20" fillId="3" borderId="8" xfId="0" applyNumberFormat="1" applyFont="1" applyFill="1" applyBorder="1" applyAlignment="1">
      <alignment horizontal="center"/>
    </xf>
    <xf numFmtId="175" fontId="20" fillId="3" borderId="7" xfId="0" applyNumberFormat="1" applyFont="1" applyFill="1" applyBorder="1" applyAlignment="1">
      <alignment horizontal="center"/>
    </xf>
    <xf numFmtId="0" fontId="22" fillId="0" borderId="0" xfId="1" applyFont="1" applyAlignment="1">
      <alignment horizontal="center"/>
    </xf>
    <xf numFmtId="164" fontId="21" fillId="0" borderId="0" xfId="1" applyNumberFormat="1" applyFont="1"/>
    <xf numFmtId="165" fontId="17" fillId="0" borderId="0" xfId="1" applyNumberFormat="1" applyFont="1"/>
    <xf numFmtId="0" fontId="17" fillId="0" borderId="0" xfId="1" applyFont="1" applyAlignment="1">
      <alignment horizontal="left" indent="1"/>
    </xf>
    <xf numFmtId="166" fontId="18" fillId="0" borderId="0" xfId="0" applyNumberFormat="1" applyFont="1"/>
    <xf numFmtId="167" fontId="17" fillId="0" borderId="0" xfId="1" applyNumberFormat="1" applyFont="1"/>
    <xf numFmtId="164" fontId="18" fillId="0" borderId="0" xfId="0" applyNumberFormat="1" applyFont="1"/>
    <xf numFmtId="176" fontId="19" fillId="4" borderId="5" xfId="1" applyNumberFormat="1" applyFont="1" applyFill="1" applyBorder="1" applyAlignment="1">
      <alignment horizontal="center"/>
    </xf>
    <xf numFmtId="166" fontId="17" fillId="0" borderId="0" xfId="1" applyNumberFormat="1" applyFont="1"/>
    <xf numFmtId="0" fontId="10" fillId="0" borderId="0" xfId="1" applyFont="1"/>
    <xf numFmtId="0" fontId="12" fillId="4" borderId="16" xfId="1" applyFont="1" applyFill="1" applyBorder="1" applyAlignment="1">
      <alignment horizontal="centerContinuous"/>
    </xf>
    <xf numFmtId="0" fontId="19" fillId="4" borderId="16" xfId="1" applyFont="1" applyFill="1" applyBorder="1" applyAlignment="1">
      <alignment horizontal="centerContinuous"/>
    </xf>
    <xf numFmtId="0" fontId="19" fillId="4" borderId="18" xfId="1" applyFont="1" applyFill="1" applyBorder="1" applyAlignment="1">
      <alignment horizontal="centerContinuous"/>
    </xf>
    <xf numFmtId="176" fontId="19" fillId="4" borderId="17" xfId="1" applyNumberFormat="1" applyFont="1" applyFill="1" applyBorder="1" applyAlignment="1">
      <alignment horizontal="center"/>
    </xf>
    <xf numFmtId="0" fontId="12" fillId="4" borderId="5" xfId="1" applyFont="1" applyFill="1" applyBorder="1"/>
    <xf numFmtId="0" fontId="9" fillId="0" borderId="0" xfId="1" applyFont="1" applyAlignment="1">
      <alignment horizontal="left" indent="2"/>
    </xf>
    <xf numFmtId="0" fontId="11" fillId="0" borderId="2" xfId="1" applyFont="1" applyBorder="1"/>
    <xf numFmtId="0" fontId="17" fillId="0" borderId="2" xfId="1" applyFont="1" applyBorder="1"/>
    <xf numFmtId="0" fontId="24" fillId="4" borderId="5" xfId="1" applyFont="1" applyFill="1" applyBorder="1" applyAlignment="1">
      <alignment horizontal="center"/>
    </xf>
    <xf numFmtId="168" fontId="17" fillId="0" borderId="0" xfId="1" applyNumberFormat="1" applyFont="1"/>
    <xf numFmtId="0" fontId="22" fillId="0" borderId="5" xfId="1" applyFont="1" applyBorder="1" applyAlignment="1">
      <alignment horizontal="center"/>
    </xf>
    <xf numFmtId="165" fontId="9" fillId="3" borderId="7" xfId="2" applyNumberFormat="1" applyFont="1" applyFill="1" applyAlignment="1">
      <alignment horizontal="center"/>
    </xf>
    <xf numFmtId="165" fontId="10" fillId="3" borderId="7" xfId="2" applyNumberFormat="1" applyFont="1" applyFill="1" applyAlignment="1">
      <alignment horizontal="center"/>
    </xf>
    <xf numFmtId="168" fontId="9" fillId="0" borderId="0" xfId="1" applyNumberFormat="1" applyFont="1"/>
    <xf numFmtId="177" fontId="9" fillId="0" borderId="0" xfId="1" applyNumberFormat="1" applyFont="1"/>
    <xf numFmtId="166" fontId="10" fillId="3" borderId="7" xfId="0" applyNumberFormat="1" applyFont="1" applyFill="1" applyBorder="1"/>
    <xf numFmtId="0" fontId="22" fillId="0" borderId="0" xfId="1" applyFont="1" applyAlignment="1">
      <alignment horizontal="left" indent="1"/>
    </xf>
    <xf numFmtId="168" fontId="22" fillId="0" borderId="0" xfId="1" applyNumberFormat="1" applyFont="1"/>
    <xf numFmtId="178" fontId="9" fillId="0" borderId="0" xfId="1" applyNumberFormat="1" applyFont="1"/>
    <xf numFmtId="170" fontId="10" fillId="3" borderId="7" xfId="0" applyNumberFormat="1" applyFont="1" applyFill="1" applyBorder="1"/>
    <xf numFmtId="0" fontId="14" fillId="5" borderId="5" xfId="0" applyFont="1" applyFill="1" applyBorder="1"/>
    <xf numFmtId="0" fontId="18" fillId="5" borderId="5" xfId="0" applyFont="1" applyFill="1" applyBorder="1"/>
    <xf numFmtId="0" fontId="4" fillId="0" borderId="0" xfId="0" applyFont="1"/>
    <xf numFmtId="169" fontId="10" fillId="3" borderId="19" xfId="1" applyNumberFormat="1" applyFont="1" applyFill="1" applyBorder="1" applyAlignment="1">
      <alignment horizontal="center"/>
    </xf>
    <xf numFmtId="0" fontId="17" fillId="5" borderId="2" xfId="1" applyFont="1" applyFill="1" applyBorder="1"/>
    <xf numFmtId="166" fontId="14" fillId="5" borderId="2" xfId="0" applyNumberFormat="1" applyFont="1" applyFill="1" applyBorder="1"/>
    <xf numFmtId="0" fontId="17" fillId="5" borderId="5" xfId="1" applyFont="1" applyFill="1" applyBorder="1"/>
    <xf numFmtId="0" fontId="22" fillId="0" borderId="0" xfId="1" applyFont="1" applyAlignment="1">
      <alignment horizontal="left"/>
    </xf>
    <xf numFmtId="0" fontId="11" fillId="6" borderId="1" xfId="1" applyFont="1" applyFill="1" applyBorder="1" applyAlignment="1">
      <alignment horizontal="left"/>
    </xf>
    <xf numFmtId="0" fontId="11" fillId="6" borderId="2" xfId="1" applyFont="1" applyFill="1" applyBorder="1"/>
    <xf numFmtId="0" fontId="11" fillId="6" borderId="4" xfId="1" applyFont="1" applyFill="1" applyBorder="1" applyAlignment="1">
      <alignment horizontal="left"/>
    </xf>
    <xf numFmtId="0" fontId="11" fillId="6" borderId="5" xfId="1" applyFont="1" applyFill="1" applyBorder="1"/>
    <xf numFmtId="168" fontId="11" fillId="6" borderId="6" xfId="1" applyNumberFormat="1" applyFont="1" applyFill="1" applyBorder="1"/>
    <xf numFmtId="177" fontId="18" fillId="0" borderId="0" xfId="0" applyNumberFormat="1" applyFont="1"/>
    <xf numFmtId="0" fontId="11" fillId="8" borderId="0" xfId="1" applyFont="1" applyFill="1"/>
    <xf numFmtId="0" fontId="22" fillId="8" borderId="0" xfId="1" applyFont="1" applyFill="1" applyAlignment="1">
      <alignment horizontal="center"/>
    </xf>
    <xf numFmtId="0" fontId="9" fillId="7" borderId="1" xfId="1" applyFont="1" applyFill="1" applyBorder="1"/>
    <xf numFmtId="0" fontId="9" fillId="7" borderId="14" xfId="1" applyFont="1" applyFill="1" applyBorder="1"/>
    <xf numFmtId="0" fontId="12" fillId="7" borderId="14" xfId="1" applyFont="1" applyFill="1" applyBorder="1" applyAlignment="1">
      <alignment horizontal="centerContinuous"/>
    </xf>
    <xf numFmtId="0" fontId="11" fillId="7" borderId="14" xfId="1" applyFont="1" applyFill="1" applyBorder="1" applyAlignment="1">
      <alignment horizontal="centerContinuous"/>
    </xf>
    <xf numFmtId="0" fontId="11" fillId="7" borderId="15" xfId="1" applyFont="1" applyFill="1" applyBorder="1" applyAlignment="1">
      <alignment horizontal="centerContinuous"/>
    </xf>
    <xf numFmtId="0" fontId="9" fillId="7" borderId="20" xfId="1" applyFont="1" applyFill="1" applyBorder="1"/>
    <xf numFmtId="44" fontId="25" fillId="5" borderId="0" xfId="1" applyNumberFormat="1" applyFont="1" applyFill="1"/>
    <xf numFmtId="179" fontId="10" fillId="5" borderId="14" xfId="1" applyNumberFormat="1" applyFont="1" applyFill="1" applyBorder="1" applyAlignment="1">
      <alignment horizontal="center"/>
    </xf>
    <xf numFmtId="179" fontId="9" fillId="5" borderId="14" xfId="1" applyNumberFormat="1" applyFont="1" applyFill="1" applyBorder="1" applyAlignment="1">
      <alignment horizontal="center"/>
    </xf>
    <xf numFmtId="179" fontId="11" fillId="5" borderId="14" xfId="1" applyNumberFormat="1" applyFont="1" applyFill="1" applyBorder="1" applyAlignment="1">
      <alignment horizontal="center"/>
    </xf>
    <xf numFmtId="179" fontId="9" fillId="5" borderId="15" xfId="1" applyNumberFormat="1" applyFont="1" applyFill="1" applyBorder="1" applyAlignment="1">
      <alignment horizontal="center"/>
    </xf>
    <xf numFmtId="180" fontId="10" fillId="5" borderId="13" xfId="1" applyNumberFormat="1" applyFont="1" applyFill="1" applyBorder="1" applyAlignment="1">
      <alignment horizontal="center"/>
    </xf>
    <xf numFmtId="44" fontId="9" fillId="0" borderId="0" xfId="0" applyNumberFormat="1" applyFont="1"/>
    <xf numFmtId="44" fontId="11" fillId="0" borderId="0" xfId="0" applyNumberFormat="1" applyFont="1"/>
    <xf numFmtId="180" fontId="9" fillId="5" borderId="13" xfId="1" applyNumberFormat="1" applyFont="1" applyFill="1" applyBorder="1" applyAlignment="1">
      <alignment horizontal="center"/>
    </xf>
    <xf numFmtId="43" fontId="9" fillId="0" borderId="0" xfId="0" applyNumberFormat="1" applyFont="1"/>
    <xf numFmtId="43" fontId="11" fillId="0" borderId="0" xfId="0" applyNumberFormat="1" applyFont="1"/>
    <xf numFmtId="180" fontId="11" fillId="5" borderId="13" xfId="1" applyNumberFormat="1" applyFont="1" applyFill="1" applyBorder="1" applyAlignment="1">
      <alignment horizontal="center"/>
    </xf>
    <xf numFmtId="180" fontId="9" fillId="5" borderId="6" xfId="1" applyNumberFormat="1" applyFont="1" applyFill="1" applyBorder="1" applyAlignment="1">
      <alignment horizontal="center"/>
    </xf>
    <xf numFmtId="173" fontId="10" fillId="5" borderId="13" xfId="1" applyNumberFormat="1" applyFont="1" applyFill="1" applyBorder="1" applyAlignment="1">
      <alignment horizontal="center"/>
    </xf>
    <xf numFmtId="173" fontId="9" fillId="5" borderId="13" xfId="1" applyNumberFormat="1" applyFont="1" applyFill="1" applyBorder="1" applyAlignment="1">
      <alignment horizontal="center"/>
    </xf>
    <xf numFmtId="173" fontId="9" fillId="5" borderId="21" xfId="1" applyNumberFormat="1" applyFont="1" applyFill="1" applyBorder="1" applyAlignment="1">
      <alignment horizontal="center"/>
    </xf>
    <xf numFmtId="166" fontId="3" fillId="0" borderId="0" xfId="0" applyNumberFormat="1" applyFont="1"/>
    <xf numFmtId="0" fontId="15" fillId="0" borderId="0" xfId="1" applyFont="1"/>
    <xf numFmtId="0" fontId="15" fillId="0" borderId="0" xfId="0" applyFont="1"/>
    <xf numFmtId="0" fontId="1" fillId="0" borderId="0" xfId="0" applyFont="1"/>
    <xf numFmtId="0" fontId="1" fillId="0" borderId="0" xfId="0" quotePrefix="1" applyFont="1"/>
    <xf numFmtId="43" fontId="17" fillId="0" borderId="0" xfId="1" applyNumberFormat="1" applyFont="1"/>
    <xf numFmtId="181" fontId="11" fillId="0" borderId="0" xfId="1" applyNumberFormat="1" applyFont="1"/>
    <xf numFmtId="182" fontId="22" fillId="0" borderId="0" xfId="1" applyNumberFormat="1" applyFont="1"/>
    <xf numFmtId="178" fontId="17" fillId="0" borderId="0" xfId="1" applyNumberFormat="1" applyFont="1"/>
    <xf numFmtId="178" fontId="11" fillId="0" borderId="0" xfId="1" applyNumberFormat="1" applyFont="1"/>
    <xf numFmtId="178" fontId="10" fillId="0" borderId="0" xfId="1" applyNumberFormat="1" applyFont="1"/>
    <xf numFmtId="178" fontId="11" fillId="0" borderId="2" xfId="1" applyNumberFormat="1" applyFont="1" applyBorder="1"/>
    <xf numFmtId="183" fontId="17" fillId="0" borderId="0" xfId="1" applyNumberFormat="1" applyFont="1"/>
    <xf numFmtId="184" fontId="9" fillId="0" borderId="0" xfId="1" applyNumberFormat="1" applyFont="1"/>
    <xf numFmtId="185" fontId="17" fillId="0" borderId="0" xfId="1" applyNumberFormat="1" applyFont="1"/>
    <xf numFmtId="181" fontId="10" fillId="0" borderId="0" xfId="1" applyNumberFormat="1" applyFont="1"/>
    <xf numFmtId="178" fontId="9" fillId="3" borderId="7" xfId="0" applyNumberFormat="1" applyFont="1" applyFill="1" applyBorder="1"/>
    <xf numFmtId="178" fontId="10" fillId="3" borderId="7" xfId="0" applyNumberFormat="1" applyFont="1" applyFill="1" applyBorder="1"/>
    <xf numFmtId="42" fontId="11" fillId="0" borderId="2" xfId="1" applyNumberFormat="1" applyFont="1" applyBorder="1"/>
    <xf numFmtId="0" fontId="22" fillId="0" borderId="0" xfId="1" applyFont="1" applyAlignment="1">
      <alignment vertical="center"/>
    </xf>
    <xf numFmtId="186" fontId="17" fillId="0" borderId="0" xfId="1" applyNumberFormat="1" applyFont="1" applyAlignment="1">
      <alignment horizontal="left" indent="1"/>
    </xf>
    <xf numFmtId="172" fontId="22" fillId="0" borderId="0" xfId="1" applyNumberFormat="1" applyFont="1"/>
    <xf numFmtId="181" fontId="11" fillId="8" borderId="0" xfId="1" applyNumberFormat="1" applyFont="1" applyFill="1"/>
    <xf numFmtId="178" fontId="23" fillId="0" borderId="0" xfId="1" applyNumberFormat="1" applyFont="1"/>
    <xf numFmtId="178" fontId="17" fillId="0" borderId="0" xfId="1" applyNumberFormat="1" applyFont="1" applyAlignment="1">
      <alignment horizontal="left" indent="1"/>
    </xf>
    <xf numFmtId="166" fontId="9" fillId="0" borderId="22" xfId="0" applyNumberFormat="1" applyFont="1" applyBorder="1"/>
    <xf numFmtId="183" fontId="9" fillId="0" borderId="0" xfId="0" applyNumberFormat="1" applyFont="1"/>
    <xf numFmtId="187" fontId="9" fillId="0" borderId="0" xfId="1" applyNumberFormat="1" applyFont="1"/>
    <xf numFmtId="186" fontId="10" fillId="3" borderId="7" xfId="0" applyNumberFormat="1" applyFont="1" applyFill="1" applyBorder="1"/>
    <xf numFmtId="178" fontId="26" fillId="3" borderId="7" xfId="1" applyNumberFormat="1" applyFont="1" applyFill="1" applyBorder="1" applyAlignment="1">
      <alignment horizontal="center"/>
    </xf>
    <xf numFmtId="0" fontId="10" fillId="3" borderId="10" xfId="2" applyFont="1" applyFill="1" applyBorder="1" applyAlignment="1">
      <alignment horizontal="centerContinuous"/>
    </xf>
    <xf numFmtId="0" fontId="10" fillId="3" borderId="7" xfId="2" applyFont="1" applyFill="1" applyAlignment="1">
      <alignment horizontal="centerContinuous"/>
    </xf>
    <xf numFmtId="178" fontId="9" fillId="0" borderId="0" xfId="0" applyNumberFormat="1" applyFont="1"/>
    <xf numFmtId="164" fontId="11" fillId="0" borderId="0" xfId="1" applyNumberFormat="1" applyFont="1"/>
    <xf numFmtId="166" fontId="20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167" fontId="10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center"/>
    </xf>
    <xf numFmtId="189" fontId="20" fillId="3" borderId="8" xfId="0" applyNumberFormat="1" applyFont="1" applyFill="1" applyBorder="1" applyAlignment="1">
      <alignment horizontal="center"/>
    </xf>
    <xf numFmtId="174" fontId="9" fillId="0" borderId="0" xfId="0" applyNumberFormat="1" applyFont="1"/>
    <xf numFmtId="0" fontId="17" fillId="5" borderId="5" xfId="1" applyFont="1" applyFill="1" applyBorder="1" applyAlignment="1">
      <alignment horizontal="left" indent="1"/>
    </xf>
    <xf numFmtId="166" fontId="18" fillId="5" borderId="5" xfId="0" applyNumberFormat="1" applyFont="1" applyFill="1" applyBorder="1"/>
    <xf numFmtId="0" fontId="12" fillId="7" borderId="20" xfId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6" fontId="10" fillId="0" borderId="0" xfId="1" applyNumberFormat="1" applyFont="1"/>
    <xf numFmtId="165" fontId="10" fillId="3" borderId="12" xfId="2" applyNumberFormat="1" applyFont="1" applyFill="1" applyBorder="1" applyAlignment="1">
      <alignment horizontal="center"/>
    </xf>
    <xf numFmtId="0" fontId="0" fillId="0" borderId="20" xfId="0" applyBorder="1" applyAlignment="1"/>
    <xf numFmtId="0" fontId="0" fillId="0" borderId="21" xfId="0" applyBorder="1" applyAlignment="1"/>
  </cellXfs>
  <cellStyles count="8">
    <cellStyle name="Normal" xfId="0" builtinId="0"/>
    <cellStyle name="Normal 2" xfId="1" xr:uid="{00000000-0005-0000-0000-000001000000}"/>
    <cellStyle name="Normal 3" xfId="7" xr:uid="{7F56A9AE-D5AA-4EED-A8EF-18B8B87D1E11}"/>
    <cellStyle name="Normal 3 2" xfId="3" xr:uid="{00000000-0005-0000-0000-000002000000}"/>
    <cellStyle name="Normal 3 4" xfId="6" xr:uid="{00000000-0005-0000-0000-000003000000}"/>
    <cellStyle name="Normal 5 2" xfId="4" xr:uid="{00000000-0005-0000-0000-000004000000}"/>
    <cellStyle name="Note" xfId="2" builtinId="10"/>
    <cellStyle name="TextNormal" xfId="5" xr:uid="{00000000-0005-0000-0000-000006000000}"/>
  </cellStyles>
  <dxfs count="0"/>
  <tableStyles count="0" defaultTableStyle="TableStyleMedium9" defaultPivotStyle="PivotStyleLight16"/>
  <colors>
    <mruColors>
      <color rgb="FF0000FF"/>
      <color rgb="FFFFFF9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AF166"/>
  <sheetViews>
    <sheetView showGridLines="0" tabSelected="1" zoomScaleNormal="100" zoomScaleSheetLayoutView="55" workbookViewId="0">
      <selection activeCell="B2" sqref="B2"/>
    </sheetView>
  </sheetViews>
  <sheetFormatPr defaultColWidth="9.140625" defaultRowHeight="15.75" outlineLevelRow="1" outlineLevelCol="1" x14ac:dyDescent="0.25"/>
  <cols>
    <col min="1" max="2" width="2.7109375" style="11" customWidth="1"/>
    <col min="3" max="5" width="15.7109375" style="11" customWidth="1"/>
    <col min="6" max="6" width="13.85546875" style="11" bestFit="1" customWidth="1"/>
    <col min="7" max="9" width="12.85546875" style="11" customWidth="1" outlineLevel="1"/>
    <col min="10" max="19" width="12.85546875" style="11" customWidth="1"/>
    <col min="20" max="20" width="2.7109375" style="11" customWidth="1"/>
    <col min="21" max="21" width="2.7109375" style="90" customWidth="1"/>
    <col min="22" max="31" width="12.28515625" style="1" customWidth="1"/>
    <col min="32" max="16384" width="9.140625" style="1"/>
  </cols>
  <sheetData>
    <row r="2" spans="2:32" ht="18.75" x14ac:dyDescent="0.3">
      <c r="B2" s="10" t="str">
        <f>"Dividend Discount Model - "&amp;Company_Name</f>
        <v>Dividend Discount Model - DT Midstream, Inc.</v>
      </c>
    </row>
    <row r="3" spans="2:32" x14ac:dyDescent="0.25">
      <c r="B3" s="12" t="s">
        <v>11</v>
      </c>
    </row>
    <row r="5" spans="2:32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2:32" x14ac:dyDescent="0.25">
      <c r="B6" s="14" t="str">
        <f>Company_Name&amp;" - DDM Assumptions &amp; Output:"</f>
        <v>DT Midstream, Inc. - DDM Assumptions &amp; Output:</v>
      </c>
      <c r="C6" s="14"/>
      <c r="D6" s="14"/>
      <c r="E6" s="14"/>
      <c r="F6" s="39" t="s">
        <v>32</v>
      </c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U6" s="92"/>
      <c r="V6" s="92"/>
      <c r="W6" s="92"/>
      <c r="X6" s="92"/>
      <c r="Y6" s="92"/>
      <c r="Z6" s="92"/>
      <c r="AA6" s="92"/>
      <c r="AB6" s="92"/>
      <c r="AC6" s="92"/>
      <c r="AD6" s="92"/>
      <c r="AF6" s="92"/>
    </row>
    <row r="7" spans="2:32" outlineLevel="1" x14ac:dyDescent="0.25">
      <c r="AF7" s="92"/>
    </row>
    <row r="8" spans="2:32" outlineLevel="1" x14ac:dyDescent="0.25">
      <c r="C8" s="12" t="s">
        <v>0</v>
      </c>
      <c r="D8" s="12"/>
      <c r="F8" s="21" t="s">
        <v>7</v>
      </c>
      <c r="G8" s="119" t="s">
        <v>101</v>
      </c>
      <c r="H8" s="16"/>
      <c r="J8" s="51" t="s">
        <v>37</v>
      </c>
      <c r="K8" s="52"/>
      <c r="L8" s="52"/>
      <c r="M8" s="52"/>
      <c r="O8" s="51" t="s">
        <v>38</v>
      </c>
      <c r="P8" s="52"/>
      <c r="Q8" s="52"/>
      <c r="R8" s="52"/>
      <c r="AF8" s="92"/>
    </row>
    <row r="9" spans="2:32" outlineLevel="1" x14ac:dyDescent="0.25">
      <c r="C9" s="12" t="s">
        <v>10</v>
      </c>
      <c r="F9" s="21" t="s">
        <v>7</v>
      </c>
      <c r="G9" s="120" t="s">
        <v>102</v>
      </c>
      <c r="AE9" s="92"/>
      <c r="AF9" s="92"/>
    </row>
    <row r="10" spans="2:32" outlineLevel="1" x14ac:dyDescent="0.25">
      <c r="C10" s="1" t="s">
        <v>44</v>
      </c>
      <c r="F10" s="21" t="s">
        <v>4</v>
      </c>
      <c r="G10" s="20">
        <v>45044</v>
      </c>
      <c r="J10" s="1" t="s">
        <v>112</v>
      </c>
      <c r="M10" s="126">
        <f>MEDIAN(15.6,20.8,14.8,13.3,8.8)</f>
        <v>14.8</v>
      </c>
      <c r="O10" s="1" t="s">
        <v>40</v>
      </c>
      <c r="R10" s="43">
        <v>1.4999999999999999E-2</v>
      </c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</row>
    <row r="11" spans="2:32" outlineLevel="1" x14ac:dyDescent="0.25">
      <c r="C11" s="12" t="s">
        <v>1</v>
      </c>
      <c r="F11" s="21" t="s">
        <v>14</v>
      </c>
      <c r="G11" s="17">
        <v>49.27</v>
      </c>
      <c r="J11" s="1" t="s">
        <v>111</v>
      </c>
      <c r="M11" s="125">
        <v>13.14</v>
      </c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</row>
    <row r="12" spans="2:32" ht="14.45" customHeight="1" outlineLevel="1" x14ac:dyDescent="0.25">
      <c r="C12" s="11" t="s">
        <v>2</v>
      </c>
      <c r="F12" s="21" t="s">
        <v>15</v>
      </c>
      <c r="G12" s="18">
        <v>97.2</v>
      </c>
      <c r="M12" s="26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</row>
    <row r="13" spans="2:32" outlineLevel="1" x14ac:dyDescent="0.25">
      <c r="J13" s="1" t="s">
        <v>54</v>
      </c>
      <c r="L13" s="22"/>
      <c r="M13" s="54">
        <v>11.992400854903822</v>
      </c>
      <c r="O13" s="1" t="s">
        <v>49</v>
      </c>
      <c r="Q13" s="22"/>
      <c r="R13" s="43">
        <v>0.01</v>
      </c>
      <c r="U13" s="91"/>
      <c r="V13" s="93"/>
      <c r="W13" s="92"/>
      <c r="X13" s="92"/>
      <c r="Y13" s="92"/>
      <c r="Z13" s="92"/>
      <c r="AA13" s="92"/>
      <c r="AB13" s="92"/>
      <c r="AC13" s="92"/>
      <c r="AD13" s="92"/>
      <c r="AE13" s="92"/>
      <c r="AF13" s="92"/>
    </row>
    <row r="14" spans="2:32" outlineLevel="1" x14ac:dyDescent="0.25">
      <c r="C14" s="1" t="s">
        <v>117</v>
      </c>
      <c r="F14" s="21" t="s">
        <v>8</v>
      </c>
      <c r="G14" s="42">
        <f>AVERAGE(26.5%,24.7%,20.7%)</f>
        <v>0.23966666666666667</v>
      </c>
      <c r="J14" s="1" t="s">
        <v>41</v>
      </c>
      <c r="M14" s="27">
        <f>M13*S106</f>
        <v>11190.771853211319</v>
      </c>
      <c r="O14" s="1" t="s">
        <v>41</v>
      </c>
      <c r="R14" s="3">
        <f>S106*(1+R13)/(Discount_Rate-R13)</f>
        <v>11190.771853211319</v>
      </c>
      <c r="U14" s="91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</row>
    <row r="15" spans="2:32" outlineLevel="1" x14ac:dyDescent="0.25">
      <c r="J15" s="1" t="s">
        <v>53</v>
      </c>
      <c r="L15" s="22"/>
      <c r="M15" s="23">
        <f>(M14*Discount_Rate-S106)/(M14+S106)</f>
        <v>9.9999999999999881E-3</v>
      </c>
      <c r="O15" s="1" t="s">
        <v>50</v>
      </c>
      <c r="R15" s="4">
        <f>R14/S106</f>
        <v>11.992400854903822</v>
      </c>
      <c r="U15" s="91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</row>
    <row r="16" spans="2:32" outlineLevel="1" x14ac:dyDescent="0.25">
      <c r="C16" s="1" t="s">
        <v>5</v>
      </c>
      <c r="F16" s="21" t="s">
        <v>8</v>
      </c>
      <c r="G16" s="135">
        <v>3.422E-2</v>
      </c>
      <c r="U16" s="91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</row>
    <row r="17" spans="2:32" outlineLevel="1" x14ac:dyDescent="0.25">
      <c r="C17" s="1" t="s">
        <v>6</v>
      </c>
      <c r="F17" s="21" t="s">
        <v>8</v>
      </c>
      <c r="G17" s="43">
        <v>0.06</v>
      </c>
      <c r="J17" s="6" t="s">
        <v>39</v>
      </c>
      <c r="M17" s="25">
        <f>M14/((1+Discount_Rate)^10)</f>
        <v>4547.9277526926753</v>
      </c>
      <c r="O17" s="6" t="s">
        <v>39</v>
      </c>
      <c r="R17" s="25">
        <f>R14/((1+Discount_Rate)^10)</f>
        <v>4547.9277526926753</v>
      </c>
      <c r="U17" s="91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</row>
    <row r="18" spans="2:32" outlineLevel="1" x14ac:dyDescent="0.25">
      <c r="C18" s="1" t="s">
        <v>114</v>
      </c>
      <c r="F18" s="21" t="s">
        <v>12</v>
      </c>
      <c r="G18" s="127">
        <v>1</v>
      </c>
      <c r="J18" s="6" t="s">
        <v>51</v>
      </c>
      <c r="M18" s="25">
        <f>NPV(Discount_Rate,$J$123:$S$123)</f>
        <v>2634.6093164787781</v>
      </c>
      <c r="O18" s="6" t="s">
        <v>51</v>
      </c>
      <c r="R18" s="25">
        <f>NPV(Discount_Rate,$J$123:$S$123)</f>
        <v>2634.6093164787781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2:32" outlineLevel="1" x14ac:dyDescent="0.25">
      <c r="J19" s="7" t="s">
        <v>42</v>
      </c>
      <c r="K19" s="55"/>
      <c r="L19" s="55"/>
      <c r="M19" s="56">
        <f>SUM(M17:M18)</f>
        <v>7182.5370691714534</v>
      </c>
      <c r="O19" s="7" t="s">
        <v>42</v>
      </c>
      <c r="P19" s="55"/>
      <c r="Q19" s="55"/>
      <c r="R19" s="56">
        <f>SUM(R17:R18)</f>
        <v>7182.5370691714534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2:32" outlineLevel="1" x14ac:dyDescent="0.25">
      <c r="C20" s="1" t="s">
        <v>48</v>
      </c>
      <c r="F20" s="21" t="s">
        <v>8</v>
      </c>
      <c r="G20" s="128">
        <f>G16+G17*G18</f>
        <v>9.4219999999999998E-2</v>
      </c>
      <c r="J20" s="24"/>
      <c r="M20" s="25"/>
      <c r="O20" s="24"/>
      <c r="R20" s="25"/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2:32" outlineLevel="1" x14ac:dyDescent="0.25">
      <c r="C21" s="2"/>
      <c r="F21" s="21"/>
      <c r="G21" s="122"/>
      <c r="J21" s="58" t="s">
        <v>52</v>
      </c>
      <c r="M21" s="48">
        <f>M17/M19</f>
        <v>0.63319238159077185</v>
      </c>
      <c r="O21" s="58" t="s">
        <v>52</v>
      </c>
      <c r="R21" s="48">
        <f>R17/R19</f>
        <v>0.63319238159077185</v>
      </c>
      <c r="AF21" s="92"/>
    </row>
    <row r="22" spans="2:32" outlineLevel="1" x14ac:dyDescent="0.25">
      <c r="C22" s="11" t="s">
        <v>9</v>
      </c>
      <c r="F22" s="21" t="s">
        <v>12</v>
      </c>
      <c r="G22" s="19">
        <v>1000</v>
      </c>
      <c r="J22" s="6"/>
      <c r="K22" s="1"/>
      <c r="L22" s="1"/>
      <c r="M22" s="89"/>
      <c r="N22" s="1"/>
      <c r="O22" s="6"/>
      <c r="P22" s="1"/>
      <c r="Q22" s="1"/>
      <c r="R22" s="89"/>
      <c r="V22" s="92"/>
      <c r="AF22" s="92"/>
    </row>
    <row r="23" spans="2:32" outlineLevel="1" x14ac:dyDescent="0.25">
      <c r="C23" s="12" t="s">
        <v>13</v>
      </c>
      <c r="F23" s="21" t="s">
        <v>4</v>
      </c>
      <c r="G23" s="20">
        <v>44926</v>
      </c>
      <c r="J23" s="11" t="s">
        <v>2</v>
      </c>
      <c r="M23" s="64">
        <f>Diluted_Shares</f>
        <v>97.2</v>
      </c>
      <c r="O23" s="11" t="s">
        <v>2</v>
      </c>
      <c r="R23" s="64">
        <f>Diluted_Shares</f>
        <v>97.2</v>
      </c>
      <c r="AF23" s="92"/>
    </row>
    <row r="24" spans="2:32" outlineLevel="1" x14ac:dyDescent="0.25">
      <c r="C24" s="6"/>
      <c r="F24" s="21"/>
      <c r="G24" s="123"/>
      <c r="J24" s="24"/>
      <c r="M24" s="25"/>
      <c r="O24" s="24"/>
      <c r="R24" s="25"/>
      <c r="AF24" s="92"/>
    </row>
    <row r="25" spans="2:32" outlineLevel="1" x14ac:dyDescent="0.25">
      <c r="C25" s="6"/>
      <c r="F25" s="21"/>
      <c r="G25" s="123"/>
      <c r="J25" s="59" t="s">
        <v>58</v>
      </c>
      <c r="K25" s="60"/>
      <c r="L25" s="60"/>
      <c r="M25" s="8">
        <f>M19/M23</f>
        <v>73.894414291887372</v>
      </c>
      <c r="O25" s="59" t="s">
        <v>59</v>
      </c>
      <c r="P25" s="60"/>
      <c r="Q25" s="60"/>
      <c r="R25" s="8">
        <f>R19/R23</f>
        <v>73.894414291887372</v>
      </c>
      <c r="AF25" s="92"/>
    </row>
    <row r="26" spans="2:32" outlineLevel="1" x14ac:dyDescent="0.25">
      <c r="C26" s="6"/>
      <c r="F26" s="21"/>
      <c r="G26" s="124"/>
      <c r="J26" s="61" t="s">
        <v>3</v>
      </c>
      <c r="K26" s="62"/>
      <c r="L26" s="62"/>
      <c r="M26" s="63">
        <f>M25/Share_Price-1</f>
        <v>0.49978514901334226</v>
      </c>
      <c r="O26" s="61" t="s">
        <v>3</v>
      </c>
      <c r="P26" s="62"/>
      <c r="Q26" s="62"/>
      <c r="R26" s="63">
        <f>R25/Share_Price-1</f>
        <v>0.49978514901334226</v>
      </c>
      <c r="AF26" s="92"/>
    </row>
    <row r="27" spans="2:32" outlineLevel="1" x14ac:dyDescent="0.25">
      <c r="O27" s="92"/>
      <c r="P27" s="92"/>
      <c r="Q27" s="92"/>
      <c r="R27" s="92"/>
      <c r="S27" s="92"/>
      <c r="AF27" s="92"/>
    </row>
    <row r="28" spans="2:32" x14ac:dyDescent="0.25">
      <c r="B28" s="13"/>
      <c r="C28" s="13"/>
      <c r="D28" s="13"/>
      <c r="E28" s="13"/>
      <c r="F28" s="13"/>
      <c r="G28" s="31" t="str">
        <f>G82</f>
        <v>Historical:</v>
      </c>
      <c r="H28" s="32"/>
      <c r="I28" s="33"/>
      <c r="J28" s="31" t="str">
        <f>J82</f>
        <v>Projected:</v>
      </c>
      <c r="K28" s="32"/>
      <c r="L28" s="32"/>
      <c r="M28" s="32"/>
      <c r="N28" s="32"/>
      <c r="O28" s="32"/>
      <c r="P28" s="32"/>
      <c r="Q28" s="32"/>
      <c r="R28" s="32"/>
      <c r="S28" s="32"/>
      <c r="AF28" s="92"/>
    </row>
    <row r="29" spans="2:32" x14ac:dyDescent="0.25">
      <c r="B29" s="35" t="s">
        <v>22</v>
      </c>
      <c r="C29" s="14"/>
      <c r="D29" s="14"/>
      <c r="E29" s="14"/>
      <c r="F29" s="39" t="str">
        <f>$F$6</f>
        <v>Units:</v>
      </c>
      <c r="G29" s="28">
        <f>G83</f>
        <v>44196</v>
      </c>
      <c r="H29" s="28">
        <f>H83</f>
        <v>44561</v>
      </c>
      <c r="I29" s="34">
        <f>I83</f>
        <v>44926</v>
      </c>
      <c r="J29" s="28">
        <f>J83</f>
        <v>45291</v>
      </c>
      <c r="K29" s="28">
        <f t="shared" ref="K29:S29" si="0">K83</f>
        <v>45657</v>
      </c>
      <c r="L29" s="28">
        <f t="shared" si="0"/>
        <v>46022</v>
      </c>
      <c r="M29" s="28">
        <f t="shared" si="0"/>
        <v>46387</v>
      </c>
      <c r="N29" s="28">
        <f t="shared" si="0"/>
        <v>46752</v>
      </c>
      <c r="O29" s="28">
        <f t="shared" si="0"/>
        <v>47118</v>
      </c>
      <c r="P29" s="28">
        <f t="shared" si="0"/>
        <v>47483</v>
      </c>
      <c r="Q29" s="28">
        <f t="shared" si="0"/>
        <v>47848</v>
      </c>
      <c r="R29" s="28">
        <f t="shared" si="0"/>
        <v>48213</v>
      </c>
      <c r="S29" s="28">
        <f t="shared" si="0"/>
        <v>48579</v>
      </c>
      <c r="AF29" s="92"/>
    </row>
    <row r="30" spans="2:32" outlineLevel="1" x14ac:dyDescent="0.25">
      <c r="J30" s="24"/>
      <c r="M30" s="25"/>
      <c r="O30" s="24"/>
      <c r="R30" s="25"/>
      <c r="AF30" s="92"/>
    </row>
    <row r="31" spans="2:32" outlineLevel="1" x14ac:dyDescent="0.25">
      <c r="C31" s="2" t="s">
        <v>23</v>
      </c>
      <c r="J31" s="24"/>
      <c r="M31" s="25"/>
      <c r="O31" s="24"/>
      <c r="R31" s="25"/>
      <c r="AF31" s="92"/>
    </row>
    <row r="32" spans="2:32" outlineLevel="1" x14ac:dyDescent="0.25">
      <c r="C32" s="6" t="s">
        <v>61</v>
      </c>
      <c r="F32" s="21" t="s">
        <v>33</v>
      </c>
      <c r="G32" s="104">
        <v>266</v>
      </c>
      <c r="H32" s="104">
        <v>307</v>
      </c>
      <c r="I32" s="104">
        <v>339</v>
      </c>
      <c r="J32" s="3"/>
      <c r="K32" s="3"/>
      <c r="L32" s="3"/>
      <c r="M32" s="3"/>
      <c r="N32" s="3"/>
      <c r="O32" s="3"/>
      <c r="P32" s="3"/>
      <c r="Q32" s="3"/>
      <c r="R32" s="3"/>
      <c r="S32" s="3"/>
      <c r="AF32" s="92"/>
    </row>
    <row r="33" spans="3:32" outlineLevel="1" x14ac:dyDescent="0.25">
      <c r="C33" s="6" t="s">
        <v>62</v>
      </c>
      <c r="F33" s="41" t="s">
        <v>33</v>
      </c>
      <c r="G33" s="99">
        <v>488</v>
      </c>
      <c r="H33" s="99">
        <v>534</v>
      </c>
      <c r="I33" s="99">
        <v>581</v>
      </c>
      <c r="J33" s="5"/>
      <c r="K33" s="5"/>
      <c r="L33" s="5"/>
      <c r="M33" s="5"/>
      <c r="N33" s="5"/>
      <c r="O33" s="5"/>
      <c r="P33" s="5"/>
      <c r="Q33" s="5"/>
      <c r="R33" s="5"/>
      <c r="S33" s="5"/>
      <c r="AF33" s="92"/>
    </row>
    <row r="34" spans="3:32" outlineLevel="1" x14ac:dyDescent="0.25">
      <c r="C34" s="37" t="s">
        <v>24</v>
      </c>
      <c r="D34" s="38"/>
      <c r="E34" s="38"/>
      <c r="F34" s="21" t="s">
        <v>33</v>
      </c>
      <c r="G34" s="100">
        <f>SUM(G32:G33)</f>
        <v>754</v>
      </c>
      <c r="H34" s="100">
        <f t="shared" ref="H34:I34" si="1">SUM(H32:H33)</f>
        <v>841</v>
      </c>
      <c r="I34" s="100">
        <f t="shared" si="1"/>
        <v>920</v>
      </c>
      <c r="J34" s="100">
        <f t="shared" ref="J34:S34" si="2">J41*J43/Units</f>
        <v>1067.5493670886078</v>
      </c>
      <c r="K34" s="100">
        <f t="shared" si="2"/>
        <v>1254.3491454829204</v>
      </c>
      <c r="L34" s="100">
        <f t="shared" si="2"/>
        <v>1390.2530477215194</v>
      </c>
      <c r="M34" s="100">
        <f t="shared" si="2"/>
        <v>1500.7733929797471</v>
      </c>
      <c r="N34" s="100">
        <f t="shared" si="2"/>
        <v>1616.6737312105197</v>
      </c>
      <c r="O34" s="100">
        <f t="shared" si="2"/>
        <v>1718.5383701977789</v>
      </c>
      <c r="P34" s="100">
        <f t="shared" si="2"/>
        <v>1818.6490948905753</v>
      </c>
      <c r="Q34" s="100">
        <f t="shared" si="2"/>
        <v>1932.0825566743881</v>
      </c>
      <c r="R34" s="100">
        <f t="shared" si="2"/>
        <v>2055.9709933311497</v>
      </c>
      <c r="S34" s="100">
        <f t="shared" si="2"/>
        <v>2196.8954076020277</v>
      </c>
      <c r="U34" s="92"/>
      <c r="V34" s="92"/>
      <c r="W34" s="92"/>
      <c r="X34" s="92"/>
      <c r="Y34" s="92"/>
      <c r="Z34" s="92"/>
      <c r="AA34" s="92"/>
      <c r="AB34" s="92"/>
      <c r="AC34" s="92"/>
      <c r="AD34" s="92"/>
      <c r="AF34" s="92"/>
    </row>
    <row r="35" spans="3:32" outlineLevel="1" x14ac:dyDescent="0.25">
      <c r="C35" s="47" t="s">
        <v>25</v>
      </c>
      <c r="F35" s="21" t="s">
        <v>8</v>
      </c>
      <c r="G35" s="110"/>
      <c r="H35" s="110">
        <f>H34/G34-1</f>
        <v>0.11538461538461542</v>
      </c>
      <c r="I35" s="110">
        <f>I34/H34-1</f>
        <v>9.3935790725327095E-2</v>
      </c>
      <c r="J35" s="110">
        <f>J34/I34-1</f>
        <v>0.16037974683544332</v>
      </c>
      <c r="K35" s="110">
        <f t="shared" ref="K35:S35" si="3">K34/J34-1</f>
        <v>0.17497999076496851</v>
      </c>
      <c r="L35" s="110">
        <f t="shared" si="3"/>
        <v>0.10834615125143343</v>
      </c>
      <c r="M35" s="110">
        <f t="shared" si="3"/>
        <v>7.949656750572065E-2</v>
      </c>
      <c r="N35" s="110">
        <f t="shared" si="3"/>
        <v>7.7227074235808102E-2</v>
      </c>
      <c r="O35" s="110">
        <f t="shared" si="3"/>
        <v>6.3008779706580587E-2</v>
      </c>
      <c r="P35" s="110">
        <f t="shared" si="3"/>
        <v>5.8253412567841112E-2</v>
      </c>
      <c r="Q35" s="110">
        <f t="shared" si="3"/>
        <v>6.2372374144357812E-2</v>
      </c>
      <c r="R35" s="110">
        <f t="shared" si="3"/>
        <v>6.4121709617836142E-2</v>
      </c>
      <c r="S35" s="110">
        <f t="shared" si="3"/>
        <v>6.8543970089066208E-2</v>
      </c>
      <c r="AF35" s="92"/>
    </row>
    <row r="36" spans="3:32" outlineLevel="1" x14ac:dyDescent="0.25">
      <c r="J36" s="24"/>
      <c r="M36" s="25"/>
      <c r="O36" s="24"/>
      <c r="R36" s="25"/>
      <c r="AF36" s="92"/>
    </row>
    <row r="37" spans="3:32" outlineLevel="1" x14ac:dyDescent="0.25">
      <c r="C37" s="9" t="s">
        <v>18</v>
      </c>
      <c r="D37" s="57"/>
      <c r="E37" s="57"/>
      <c r="F37" s="57"/>
      <c r="G37" s="57"/>
      <c r="H37" s="57"/>
      <c r="I37" s="57"/>
      <c r="J37" s="129"/>
      <c r="K37" s="57"/>
      <c r="L37" s="57"/>
      <c r="M37" s="130"/>
      <c r="N37" s="57"/>
      <c r="O37" s="129"/>
      <c r="P37" s="57"/>
      <c r="Q37" s="57"/>
      <c r="R37" s="130"/>
      <c r="S37" s="57"/>
      <c r="AF37" s="92"/>
    </row>
    <row r="38" spans="3:32" outlineLevel="1" x14ac:dyDescent="0.25">
      <c r="C38" s="6" t="s">
        <v>100</v>
      </c>
      <c r="F38" s="21" t="s">
        <v>63</v>
      </c>
      <c r="G38" s="134">
        <v>13.5</v>
      </c>
      <c r="H38" s="134">
        <v>14.5</v>
      </c>
      <c r="I38" s="5">
        <f>1.4+2.8+1.9+0.2+0.4+1.2+1+1.5+1.4+2.2+0.9+0.1+0.8</f>
        <v>15.8</v>
      </c>
      <c r="J38" s="5">
        <f>I38+J52</f>
        <v>17.8</v>
      </c>
      <c r="K38" s="5">
        <f t="shared" ref="K38:S38" si="4">J38+K52</f>
        <v>20.25</v>
      </c>
      <c r="L38" s="5">
        <f t="shared" si="4"/>
        <v>21.85</v>
      </c>
      <c r="M38" s="5">
        <f t="shared" si="4"/>
        <v>22.900000000000002</v>
      </c>
      <c r="N38" s="5">
        <f t="shared" si="4"/>
        <v>23.950000000000003</v>
      </c>
      <c r="O38" s="5">
        <f t="shared" si="4"/>
        <v>24.650000000000002</v>
      </c>
      <c r="P38" s="5">
        <f t="shared" si="4"/>
        <v>25.395548511360037</v>
      </c>
      <c r="Q38" s="5">
        <f t="shared" si="4"/>
        <v>26.1937176356425</v>
      </c>
      <c r="R38" s="5">
        <f t="shared" si="4"/>
        <v>27.061459797754139</v>
      </c>
      <c r="S38" s="5">
        <f t="shared" si="4"/>
        <v>27.997430331515524</v>
      </c>
      <c r="AF38" s="92"/>
    </row>
    <row r="39" spans="3:32" outlineLevel="1" x14ac:dyDescent="0.25">
      <c r="C39" s="36" t="s">
        <v>25</v>
      </c>
      <c r="F39" s="21" t="s">
        <v>8</v>
      </c>
      <c r="G39" s="48"/>
      <c r="H39" s="48">
        <f>H38/G38-1</f>
        <v>7.4074074074074181E-2</v>
      </c>
      <c r="I39" s="48">
        <f>I38/H38-1</f>
        <v>8.9655172413793061E-2</v>
      </c>
      <c r="J39" s="48">
        <f t="shared" ref="J39:S39" si="5">J38/I38-1</f>
        <v>0.12658227848101267</v>
      </c>
      <c r="K39" s="48">
        <f t="shared" si="5"/>
        <v>0.13764044943820219</v>
      </c>
      <c r="L39" s="48">
        <f t="shared" si="5"/>
        <v>7.9012345679012386E-2</v>
      </c>
      <c r="M39" s="48">
        <f t="shared" si="5"/>
        <v>4.8054919908466776E-2</v>
      </c>
      <c r="N39" s="48">
        <f t="shared" si="5"/>
        <v>4.5851528384279527E-2</v>
      </c>
      <c r="O39" s="48">
        <f t="shared" si="5"/>
        <v>2.9227557411273475E-2</v>
      </c>
      <c r="P39" s="48">
        <f t="shared" si="5"/>
        <v>3.0245375714403E-2</v>
      </c>
      <c r="Q39" s="48">
        <f t="shared" si="5"/>
        <v>3.1429489460541582E-2</v>
      </c>
      <c r="R39" s="48">
        <f t="shared" si="5"/>
        <v>3.3127873415375042E-2</v>
      </c>
      <c r="S39" s="48">
        <f t="shared" si="5"/>
        <v>3.4586845674861255E-2</v>
      </c>
      <c r="AF39" s="92"/>
    </row>
    <row r="40" spans="3:32" outlineLevel="1" x14ac:dyDescent="0.25">
      <c r="J40" s="24"/>
      <c r="M40" s="25"/>
      <c r="O40" s="24"/>
      <c r="R40" s="25"/>
      <c r="AF40" s="92"/>
    </row>
    <row r="41" spans="3:32" outlineLevel="1" x14ac:dyDescent="0.25">
      <c r="C41" s="6" t="s">
        <v>99</v>
      </c>
      <c r="F41" s="21" t="s">
        <v>93</v>
      </c>
      <c r="G41" s="97">
        <f>G38*(G29-EOMONTH(G29,-12))</f>
        <v>4941</v>
      </c>
      <c r="H41" s="97">
        <f>H38*(H29-G29)</f>
        <v>5292.5</v>
      </c>
      <c r="I41" s="97">
        <f>I38*(I29-H29)</f>
        <v>5767</v>
      </c>
      <c r="J41" s="97">
        <f t="shared" ref="J41:S41" si="6">J38*(J29-I29)</f>
        <v>6497</v>
      </c>
      <c r="K41" s="97">
        <f t="shared" si="6"/>
        <v>7411.5</v>
      </c>
      <c r="L41" s="97">
        <f t="shared" si="6"/>
        <v>7975.2500000000009</v>
      </c>
      <c r="M41" s="97">
        <f t="shared" si="6"/>
        <v>8358.5</v>
      </c>
      <c r="N41" s="97">
        <f t="shared" si="6"/>
        <v>8741.7500000000018</v>
      </c>
      <c r="O41" s="97">
        <f t="shared" si="6"/>
        <v>9021.9000000000015</v>
      </c>
      <c r="P41" s="97">
        <f t="shared" si="6"/>
        <v>9269.3752066464131</v>
      </c>
      <c r="Q41" s="97">
        <f t="shared" si="6"/>
        <v>9560.7069370095123</v>
      </c>
      <c r="R41" s="97">
        <f t="shared" si="6"/>
        <v>9877.4328261802602</v>
      </c>
      <c r="S41" s="97">
        <f t="shared" si="6"/>
        <v>10247.059501334681</v>
      </c>
      <c r="AF41" s="92"/>
    </row>
    <row r="42" spans="3:32" outlineLevel="1" x14ac:dyDescent="0.25">
      <c r="J42" s="24"/>
      <c r="M42" s="25"/>
      <c r="O42" s="24"/>
      <c r="R42" s="25"/>
      <c r="AF42" s="92"/>
    </row>
    <row r="43" spans="3:32" outlineLevel="1" x14ac:dyDescent="0.25">
      <c r="C43" s="6" t="s">
        <v>119</v>
      </c>
      <c r="F43" s="21" t="s">
        <v>65</v>
      </c>
      <c r="G43" s="101">
        <f>G34/G41*Units</f>
        <v>152.60068811981381</v>
      </c>
      <c r="H43" s="101">
        <f>H34/H41*Units</f>
        <v>158.9041095890411</v>
      </c>
      <c r="I43" s="101">
        <f>I34/I41*Units</f>
        <v>159.52835096237212</v>
      </c>
      <c r="J43" s="115">
        <f>I43*(1+J44)</f>
        <v>164.3142014912433</v>
      </c>
      <c r="K43" s="115">
        <f t="shared" ref="K43:S43" si="7">J43*(1+K44)</f>
        <v>169.24362753598061</v>
      </c>
      <c r="L43" s="115">
        <f t="shared" si="7"/>
        <v>174.32093636206002</v>
      </c>
      <c r="M43" s="115">
        <f t="shared" si="7"/>
        <v>179.55056445292183</v>
      </c>
      <c r="N43" s="115">
        <f t="shared" si="7"/>
        <v>184.9370813865095</v>
      </c>
      <c r="O43" s="115">
        <f t="shared" si="7"/>
        <v>190.4851938281048</v>
      </c>
      <c r="P43" s="115">
        <f t="shared" si="7"/>
        <v>196.19974964294795</v>
      </c>
      <c r="Q43" s="115">
        <f t="shared" si="7"/>
        <v>202.08574213223639</v>
      </c>
      <c r="R43" s="115">
        <f t="shared" si="7"/>
        <v>208.14831439620349</v>
      </c>
      <c r="S43" s="115">
        <f t="shared" si="7"/>
        <v>214.39276382808958</v>
      </c>
      <c r="AF43" s="92"/>
    </row>
    <row r="44" spans="3:32" outlineLevel="1" x14ac:dyDescent="0.25">
      <c r="C44" s="36" t="s">
        <v>25</v>
      </c>
      <c r="F44" s="21" t="s">
        <v>8</v>
      </c>
      <c r="G44" s="40"/>
      <c r="H44" s="40">
        <f>H43/G43-1</f>
        <v>4.1306638566912524E-2</v>
      </c>
      <c r="I44" s="40">
        <f>I43/H43-1</f>
        <v>3.928415539065977E-3</v>
      </c>
      <c r="J44" s="43">
        <v>0.03</v>
      </c>
      <c r="K44" s="43">
        <v>0.03</v>
      </c>
      <c r="L44" s="43">
        <v>0.03</v>
      </c>
      <c r="M44" s="43">
        <v>0.03</v>
      </c>
      <c r="N44" s="43">
        <v>0.03</v>
      </c>
      <c r="O44" s="43">
        <v>0.03</v>
      </c>
      <c r="P44" s="43">
        <v>0.03</v>
      </c>
      <c r="Q44" s="43">
        <v>0.03</v>
      </c>
      <c r="R44" s="43">
        <v>0.03</v>
      </c>
      <c r="S44" s="43">
        <v>0.03</v>
      </c>
      <c r="AF44" s="92"/>
    </row>
    <row r="45" spans="3:32" outlineLevel="1" x14ac:dyDescent="0.25">
      <c r="J45" s="24"/>
      <c r="M45" s="25"/>
      <c r="O45" s="24"/>
      <c r="R45" s="25"/>
      <c r="AF45" s="92"/>
    </row>
    <row r="46" spans="3:32" outlineLevel="1" x14ac:dyDescent="0.25">
      <c r="C46" s="9" t="s">
        <v>26</v>
      </c>
      <c r="D46" s="57"/>
      <c r="E46" s="57"/>
      <c r="F46" s="57"/>
      <c r="G46" s="57"/>
      <c r="H46" s="57"/>
      <c r="I46" s="57"/>
      <c r="J46" s="129"/>
      <c r="K46" s="57"/>
      <c r="L46" s="57"/>
      <c r="M46" s="130"/>
      <c r="N46" s="57"/>
      <c r="O46" s="129"/>
      <c r="P46" s="57"/>
      <c r="Q46" s="57"/>
      <c r="R46" s="130"/>
      <c r="S46" s="57"/>
      <c r="AF46" s="92"/>
    </row>
    <row r="47" spans="3:32" outlineLevel="1" x14ac:dyDescent="0.25">
      <c r="C47" s="6" t="s">
        <v>27</v>
      </c>
      <c r="F47" s="21" t="s">
        <v>33</v>
      </c>
      <c r="G47" s="49">
        <f>-G120</f>
        <v>22</v>
      </c>
      <c r="H47" s="49">
        <f t="shared" ref="H47:I47" si="8">-H120</f>
        <v>34</v>
      </c>
      <c r="I47" s="49">
        <f t="shared" si="8"/>
        <v>22</v>
      </c>
      <c r="J47" s="49">
        <f>J48*I38</f>
        <v>34.760000000000005</v>
      </c>
      <c r="K47" s="49">
        <f t="shared" ref="K47:S47" si="9">K48*J38</f>
        <v>40.050000000000004</v>
      </c>
      <c r="L47" s="49">
        <f t="shared" si="9"/>
        <v>46.574999999999996</v>
      </c>
      <c r="M47" s="49">
        <f t="shared" si="9"/>
        <v>51.347500000000004</v>
      </c>
      <c r="N47" s="49">
        <f t="shared" si="9"/>
        <v>54.96</v>
      </c>
      <c r="O47" s="49">
        <f t="shared" si="9"/>
        <v>58.677500000000009</v>
      </c>
      <c r="P47" s="49">
        <f t="shared" si="9"/>
        <v>61.625000000000007</v>
      </c>
      <c r="Q47" s="49">
        <f t="shared" si="9"/>
        <v>64.758648703968092</v>
      </c>
      <c r="R47" s="49">
        <f t="shared" si="9"/>
        <v>68.103665852670503</v>
      </c>
      <c r="S47" s="49">
        <f t="shared" si="9"/>
        <v>71.712868464048469</v>
      </c>
      <c r="AF47" s="92"/>
    </row>
    <row r="48" spans="3:32" outlineLevel="1" x14ac:dyDescent="0.25">
      <c r="C48" s="6" t="s">
        <v>88</v>
      </c>
      <c r="F48" s="108" t="s">
        <v>92</v>
      </c>
      <c r="G48" s="102"/>
      <c r="H48" s="45">
        <f>H47/G38</f>
        <v>2.5185185185185186</v>
      </c>
      <c r="I48" s="45">
        <f>I47/H38</f>
        <v>1.5172413793103448</v>
      </c>
      <c r="J48" s="50">
        <v>2.2000000000000002</v>
      </c>
      <c r="K48" s="50">
        <v>2.25</v>
      </c>
      <c r="L48" s="50">
        <v>2.2999999999999998</v>
      </c>
      <c r="M48" s="50">
        <v>2.35</v>
      </c>
      <c r="N48" s="50">
        <v>2.4</v>
      </c>
      <c r="O48" s="50">
        <v>2.4500000000000002</v>
      </c>
      <c r="P48" s="50">
        <v>2.5</v>
      </c>
      <c r="Q48" s="50">
        <v>2.5499999999999998</v>
      </c>
      <c r="R48" s="50">
        <v>2.6</v>
      </c>
      <c r="S48" s="50">
        <v>2.65</v>
      </c>
      <c r="AF48" s="92"/>
    </row>
    <row r="49" spans="3:32" outlineLevel="1" x14ac:dyDescent="0.25">
      <c r="J49" s="24"/>
      <c r="M49" s="25"/>
      <c r="O49" s="24"/>
      <c r="R49" s="25"/>
      <c r="AF49" s="92"/>
    </row>
    <row r="50" spans="3:32" outlineLevel="1" x14ac:dyDescent="0.25">
      <c r="C50" s="6" t="s">
        <v>28</v>
      </c>
      <c r="F50" s="21" t="s">
        <v>33</v>
      </c>
      <c r="G50" s="49">
        <f>518-G47</f>
        <v>496</v>
      </c>
      <c r="H50" s="49">
        <f>140-H47</f>
        <v>106</v>
      </c>
      <c r="I50" s="49">
        <f>338-I47</f>
        <v>316</v>
      </c>
      <c r="J50" s="105">
        <f>(575+650)/2</f>
        <v>612.5</v>
      </c>
      <c r="K50" s="106">
        <v>400</v>
      </c>
      <c r="L50" s="106">
        <v>350</v>
      </c>
      <c r="M50" s="106">
        <v>350</v>
      </c>
      <c r="N50" s="106">
        <v>350</v>
      </c>
      <c r="O50" s="121">
        <f>O128</f>
        <v>372.77425568001689</v>
      </c>
      <c r="P50" s="121">
        <f t="shared" ref="P50:S50" si="10">P128</f>
        <v>399.08456214123112</v>
      </c>
      <c r="Q50" s="121">
        <f t="shared" si="10"/>
        <v>433.87108105581967</v>
      </c>
      <c r="R50" s="121">
        <f t="shared" si="10"/>
        <v>467.9852668806929</v>
      </c>
      <c r="S50" s="121">
        <f t="shared" si="10"/>
        <v>507.52243037312172</v>
      </c>
      <c r="AF50" s="92"/>
    </row>
    <row r="51" spans="3:32" outlineLevel="1" x14ac:dyDescent="0.25">
      <c r="J51" s="113"/>
      <c r="K51" s="97"/>
      <c r="M51" s="25"/>
      <c r="O51" s="24"/>
      <c r="R51" s="25"/>
      <c r="AF51" s="92"/>
    </row>
    <row r="52" spans="3:32" outlineLevel="1" x14ac:dyDescent="0.25">
      <c r="C52" s="6" t="s">
        <v>29</v>
      </c>
      <c r="F52" s="21" t="s">
        <v>63</v>
      </c>
      <c r="G52" s="29"/>
      <c r="H52" s="29">
        <f>H38-G38</f>
        <v>1</v>
      </c>
      <c r="I52" s="29">
        <f>I38-H38</f>
        <v>1.3000000000000007</v>
      </c>
      <c r="J52" s="46">
        <v>2</v>
      </c>
      <c r="K52" s="114">
        <f>J50*K53</f>
        <v>2.4500000000000002</v>
      </c>
      <c r="L52" s="114">
        <f t="shared" ref="L52:S52" si="11">K50*L53</f>
        <v>1.6</v>
      </c>
      <c r="M52" s="114">
        <f>L50*M53</f>
        <v>1.05</v>
      </c>
      <c r="N52" s="114">
        <f t="shared" si="11"/>
        <v>1.05</v>
      </c>
      <c r="O52" s="114">
        <f t="shared" si="11"/>
        <v>0.70000000000000007</v>
      </c>
      <c r="P52" s="114">
        <f t="shared" si="11"/>
        <v>0.74554851136003375</v>
      </c>
      <c r="Q52" s="114">
        <f t="shared" si="11"/>
        <v>0.79816912428246223</v>
      </c>
      <c r="R52" s="114">
        <f t="shared" si="11"/>
        <v>0.86774216211163935</v>
      </c>
      <c r="S52" s="114">
        <f t="shared" si="11"/>
        <v>0.93597053376138584</v>
      </c>
      <c r="AF52" s="92"/>
    </row>
    <row r="53" spans="3:32" outlineLevel="1" x14ac:dyDescent="0.25">
      <c r="C53" s="6" t="s">
        <v>30</v>
      </c>
      <c r="F53" s="21" t="s">
        <v>90</v>
      </c>
      <c r="H53" s="109">
        <f>H52/G50</f>
        <v>2.0161290322580645E-3</v>
      </c>
      <c r="I53" s="109">
        <f>I52/H50</f>
        <v>1.2264150943396232E-2</v>
      </c>
      <c r="J53" s="109">
        <f>J52/I50</f>
        <v>6.3291139240506328E-3</v>
      </c>
      <c r="K53" s="117">
        <v>4.0000000000000001E-3</v>
      </c>
      <c r="L53" s="117">
        <v>4.0000000000000001E-3</v>
      </c>
      <c r="M53" s="117">
        <v>3.0000000000000001E-3</v>
      </c>
      <c r="N53" s="117">
        <v>3.0000000000000001E-3</v>
      </c>
      <c r="O53" s="117">
        <v>2E-3</v>
      </c>
      <c r="P53" s="117">
        <v>2E-3</v>
      </c>
      <c r="Q53" s="117">
        <v>2E-3</v>
      </c>
      <c r="R53" s="117">
        <v>2E-3</v>
      </c>
      <c r="S53" s="117">
        <v>2E-3</v>
      </c>
      <c r="AF53" s="92"/>
    </row>
    <row r="54" spans="3:32" outlineLevel="1" x14ac:dyDescent="0.25">
      <c r="J54" s="109"/>
      <c r="M54" s="25"/>
      <c r="O54" s="24"/>
      <c r="R54" s="25"/>
      <c r="AF54" s="92"/>
    </row>
    <row r="55" spans="3:32" outlineLevel="1" x14ac:dyDescent="0.25">
      <c r="C55" s="9" t="s">
        <v>31</v>
      </c>
      <c r="D55" s="57"/>
      <c r="E55" s="57"/>
      <c r="F55" s="57"/>
      <c r="G55" s="57"/>
      <c r="H55" s="57"/>
      <c r="I55" s="57"/>
      <c r="J55" s="129"/>
      <c r="K55" s="57"/>
      <c r="L55" s="57"/>
      <c r="M55" s="130"/>
      <c r="N55" s="57"/>
      <c r="O55" s="129"/>
      <c r="P55" s="57"/>
      <c r="Q55" s="57"/>
      <c r="R55" s="130"/>
      <c r="S55" s="57"/>
      <c r="U55" s="1"/>
      <c r="AF55" s="92"/>
    </row>
    <row r="56" spans="3:32" outlineLevel="1" x14ac:dyDescent="0.25">
      <c r="C56" s="6" t="s">
        <v>68</v>
      </c>
      <c r="F56" s="21" t="s">
        <v>33</v>
      </c>
      <c r="G56" s="99">
        <v>175</v>
      </c>
      <c r="H56" s="99">
        <v>231</v>
      </c>
      <c r="I56" s="99">
        <v>267</v>
      </c>
      <c r="J56" s="49">
        <f>J57*J41</f>
        <v>324.85000000000002</v>
      </c>
      <c r="K56" s="49">
        <f t="shared" ref="K56:S56" si="12">K57*K41</f>
        <v>392.80950000000001</v>
      </c>
      <c r="L56" s="49">
        <f t="shared" si="12"/>
        <v>438.63875000000007</v>
      </c>
      <c r="M56" s="49">
        <f t="shared" si="12"/>
        <v>476.43450000000001</v>
      </c>
      <c r="N56" s="49">
        <f t="shared" si="12"/>
        <v>524.50500000000011</v>
      </c>
      <c r="O56" s="49">
        <f t="shared" si="12"/>
        <v>568.37970000000007</v>
      </c>
      <c r="P56" s="49">
        <f t="shared" si="12"/>
        <v>611.77876363866324</v>
      </c>
      <c r="Q56" s="49">
        <f t="shared" si="12"/>
        <v>650.1280717166469</v>
      </c>
      <c r="R56" s="49">
        <f t="shared" si="12"/>
        <v>691.4202978326183</v>
      </c>
      <c r="S56" s="49">
        <f t="shared" si="12"/>
        <v>737.78828409609696</v>
      </c>
      <c r="AF56" s="92"/>
    </row>
    <row r="57" spans="3:32" outlineLevel="1" x14ac:dyDescent="0.25">
      <c r="C57" s="36" t="s">
        <v>95</v>
      </c>
      <c r="F57" s="21" t="s">
        <v>64</v>
      </c>
      <c r="G57" s="116">
        <f>G56/G41</f>
        <v>3.5417931592794979E-2</v>
      </c>
      <c r="H57" s="116">
        <f t="shared" ref="H57:I57" si="13">H56/H41</f>
        <v>4.3646669815777042E-2</v>
      </c>
      <c r="I57" s="116">
        <f t="shared" si="13"/>
        <v>4.6297901855384078E-2</v>
      </c>
      <c r="J57" s="117">
        <v>0.05</v>
      </c>
      <c r="K57" s="117">
        <v>5.2999999999999999E-2</v>
      </c>
      <c r="L57" s="117">
        <v>5.5E-2</v>
      </c>
      <c r="M57" s="117">
        <v>5.7000000000000002E-2</v>
      </c>
      <c r="N57" s="117">
        <v>0.06</v>
      </c>
      <c r="O57" s="117">
        <v>6.3E-2</v>
      </c>
      <c r="P57" s="117">
        <v>6.6000000000000003E-2</v>
      </c>
      <c r="Q57" s="117">
        <v>6.8000000000000005E-2</v>
      </c>
      <c r="R57" s="117">
        <v>7.0000000000000007E-2</v>
      </c>
      <c r="S57" s="117">
        <v>7.1999999999999995E-2</v>
      </c>
      <c r="AF57" s="92"/>
    </row>
    <row r="58" spans="3:32" outlineLevel="1" x14ac:dyDescent="0.25">
      <c r="AF58" s="92"/>
    </row>
    <row r="59" spans="3:32" outlineLevel="1" x14ac:dyDescent="0.25">
      <c r="C59" s="6" t="s">
        <v>69</v>
      </c>
      <c r="F59" s="21" t="s">
        <v>33</v>
      </c>
      <c r="G59" s="99">
        <v>152</v>
      </c>
      <c r="H59" s="99">
        <v>166</v>
      </c>
      <c r="I59" s="99">
        <v>170</v>
      </c>
      <c r="J59" s="49">
        <f>J60*J41</f>
        <v>194.91</v>
      </c>
      <c r="K59" s="49">
        <f t="shared" ref="K59:S59" si="14">K60*K41</f>
        <v>222.345</v>
      </c>
      <c r="L59" s="49">
        <f t="shared" si="14"/>
        <v>247.23275000000004</v>
      </c>
      <c r="M59" s="49">
        <f t="shared" si="14"/>
        <v>259.11349999999999</v>
      </c>
      <c r="N59" s="49">
        <f t="shared" si="14"/>
        <v>279.73600000000005</v>
      </c>
      <c r="O59" s="49">
        <f t="shared" si="14"/>
        <v>288.70080000000007</v>
      </c>
      <c r="P59" s="49">
        <f t="shared" si="14"/>
        <v>305.88938181933162</v>
      </c>
      <c r="Q59" s="49">
        <f t="shared" si="14"/>
        <v>315.50332892131394</v>
      </c>
      <c r="R59" s="49">
        <f t="shared" si="14"/>
        <v>335.83271609012888</v>
      </c>
      <c r="S59" s="49">
        <f t="shared" si="14"/>
        <v>348.40002304537916</v>
      </c>
      <c r="AF59" s="92"/>
    </row>
    <row r="60" spans="3:32" outlineLevel="1" x14ac:dyDescent="0.25">
      <c r="C60" s="36" t="s">
        <v>70</v>
      </c>
      <c r="F60" s="21" t="s">
        <v>64</v>
      </c>
      <c r="G60" s="116">
        <f>G59/G41</f>
        <v>3.0763003440599068E-2</v>
      </c>
      <c r="H60" s="116">
        <f t="shared" ref="H60:I60" si="15">H59/H41</f>
        <v>3.1365139348134154E-2</v>
      </c>
      <c r="I60" s="116">
        <f t="shared" si="15"/>
        <v>2.9478064851742675E-2</v>
      </c>
      <c r="J60" s="117">
        <v>0.03</v>
      </c>
      <c r="K60" s="117">
        <v>0.03</v>
      </c>
      <c r="L60" s="117">
        <v>3.1E-2</v>
      </c>
      <c r="M60" s="117">
        <v>3.1E-2</v>
      </c>
      <c r="N60" s="117">
        <v>3.2000000000000001E-2</v>
      </c>
      <c r="O60" s="117">
        <v>3.2000000000000001E-2</v>
      </c>
      <c r="P60" s="117">
        <v>3.3000000000000002E-2</v>
      </c>
      <c r="Q60" s="117">
        <v>3.3000000000000002E-2</v>
      </c>
      <c r="R60" s="117">
        <v>3.4000000000000002E-2</v>
      </c>
      <c r="S60" s="117">
        <v>3.4000000000000002E-2</v>
      </c>
      <c r="AF60" s="92"/>
    </row>
    <row r="61" spans="3:32" outlineLevel="1" x14ac:dyDescent="0.25">
      <c r="J61" s="24"/>
      <c r="M61" s="25"/>
      <c r="O61" s="24"/>
      <c r="R61" s="25"/>
      <c r="AF61" s="92"/>
    </row>
    <row r="62" spans="3:32" outlineLevel="1" x14ac:dyDescent="0.25">
      <c r="C62" s="6" t="s">
        <v>71</v>
      </c>
      <c r="F62" s="21" t="s">
        <v>33</v>
      </c>
      <c r="G62" s="99">
        <v>15</v>
      </c>
      <c r="H62" s="99">
        <v>24</v>
      </c>
      <c r="I62" s="99">
        <v>28</v>
      </c>
      <c r="J62" s="49">
        <f>J63*J34</f>
        <v>28.064498292437918</v>
      </c>
      <c r="K62" s="49">
        <f t="shared" ref="K62:S62" si="16">K63*K34</f>
        <v>32.975223944472177</v>
      </c>
      <c r="L62" s="49">
        <f t="shared" si="16"/>
        <v>36.547962545509854</v>
      </c>
      <c r="M62" s="49">
        <f t="shared" si="16"/>
        <v>39.453400117205533</v>
      </c>
      <c r="N62" s="49">
        <f t="shared" si="16"/>
        <v>42.500270776912004</v>
      </c>
      <c r="O62" s="49">
        <f t="shared" si="16"/>
        <v>45.178160975764477</v>
      </c>
      <c r="P62" s="49">
        <f t="shared" si="16"/>
        <v>47.809943026142022</v>
      </c>
      <c r="Q62" s="49">
        <f t="shared" si="16"/>
        <v>50.791962680388984</v>
      </c>
      <c r="R62" s="49">
        <f t="shared" si="16"/>
        <v>54.04883016230086</v>
      </c>
      <c r="S62" s="49">
        <f t="shared" si="16"/>
        <v>57.753551560294625</v>
      </c>
      <c r="AF62" s="92"/>
    </row>
    <row r="63" spans="3:32" outlineLevel="1" x14ac:dyDescent="0.25">
      <c r="C63" s="36" t="s">
        <v>34</v>
      </c>
      <c r="F63" s="21" t="s">
        <v>8</v>
      </c>
      <c r="G63" s="40">
        <f>G62/G34</f>
        <v>1.9893899204244031E-2</v>
      </c>
      <c r="H63" s="40">
        <f>H62/H34</f>
        <v>2.8537455410225922E-2</v>
      </c>
      <c r="I63" s="40">
        <f>I62/I34</f>
        <v>3.0434782608695653E-2</v>
      </c>
      <c r="J63" s="42">
        <f>AVERAGE(G63:I63)</f>
        <v>2.6288712407721872E-2</v>
      </c>
      <c r="K63" s="42">
        <f>J63</f>
        <v>2.6288712407721872E-2</v>
      </c>
      <c r="L63" s="42">
        <f t="shared" ref="L63:S63" si="17">K63</f>
        <v>2.6288712407721872E-2</v>
      </c>
      <c r="M63" s="42">
        <f t="shared" si="17"/>
        <v>2.6288712407721872E-2</v>
      </c>
      <c r="N63" s="42">
        <f t="shared" si="17"/>
        <v>2.6288712407721872E-2</v>
      </c>
      <c r="O63" s="42">
        <f t="shared" si="17"/>
        <v>2.6288712407721872E-2</v>
      </c>
      <c r="P63" s="42">
        <f t="shared" si="17"/>
        <v>2.6288712407721872E-2</v>
      </c>
      <c r="Q63" s="42">
        <f t="shared" si="17"/>
        <v>2.6288712407721872E-2</v>
      </c>
      <c r="R63" s="42">
        <f t="shared" si="17"/>
        <v>2.6288712407721872E-2</v>
      </c>
      <c r="S63" s="42">
        <f t="shared" si="17"/>
        <v>2.6288712407721872E-2</v>
      </c>
      <c r="AF63" s="92"/>
    </row>
    <row r="64" spans="3:32" outlineLevel="1" x14ac:dyDescent="0.25">
      <c r="J64" s="24"/>
      <c r="M64" s="25"/>
      <c r="O64" s="24"/>
      <c r="R64" s="25"/>
      <c r="AF64" s="92"/>
    </row>
    <row r="65" spans="3:32" outlineLevel="1" x14ac:dyDescent="0.25">
      <c r="C65" s="6" t="s">
        <v>72</v>
      </c>
      <c r="F65" s="21" t="s">
        <v>33</v>
      </c>
      <c r="G65" s="99">
        <v>-2</v>
      </c>
      <c r="H65" s="99">
        <v>17</v>
      </c>
      <c r="I65" s="99">
        <v>-23</v>
      </c>
      <c r="J65" s="118">
        <f>AVERAGE(G65:I65)</f>
        <v>-2.6666666666666665</v>
      </c>
      <c r="K65" s="118">
        <f>J65</f>
        <v>-2.6666666666666665</v>
      </c>
      <c r="L65" s="118">
        <f t="shared" ref="L65:S65" si="18">K65</f>
        <v>-2.6666666666666665</v>
      </c>
      <c r="M65" s="118">
        <f t="shared" si="18"/>
        <v>-2.6666666666666665</v>
      </c>
      <c r="N65" s="118">
        <f t="shared" si="18"/>
        <v>-2.6666666666666665</v>
      </c>
      <c r="O65" s="118">
        <f t="shared" si="18"/>
        <v>-2.6666666666666665</v>
      </c>
      <c r="P65" s="118">
        <f t="shared" si="18"/>
        <v>-2.6666666666666665</v>
      </c>
      <c r="Q65" s="118">
        <f t="shared" si="18"/>
        <v>-2.6666666666666665</v>
      </c>
      <c r="R65" s="118">
        <f t="shared" si="18"/>
        <v>-2.6666666666666665</v>
      </c>
      <c r="S65" s="118">
        <f t="shared" si="18"/>
        <v>-2.6666666666666665</v>
      </c>
      <c r="AF65" s="92"/>
    </row>
    <row r="66" spans="3:32" outlineLevel="1" x14ac:dyDescent="0.25">
      <c r="J66" s="24"/>
      <c r="M66" s="25"/>
      <c r="O66" s="24"/>
      <c r="R66" s="25"/>
      <c r="AF66" s="92"/>
    </row>
    <row r="67" spans="3:32" outlineLevel="1" x14ac:dyDescent="0.25">
      <c r="C67" s="9" t="s">
        <v>110</v>
      </c>
      <c r="D67" s="57"/>
      <c r="E67" s="57"/>
      <c r="F67" s="57"/>
      <c r="G67" s="57"/>
      <c r="H67" s="57"/>
      <c r="I67" s="57"/>
      <c r="J67" s="129"/>
      <c r="K67" s="57"/>
      <c r="L67" s="57"/>
      <c r="M67" s="130"/>
      <c r="N67" s="57"/>
      <c r="O67" s="129"/>
      <c r="P67" s="57"/>
      <c r="Q67" s="57"/>
      <c r="R67" s="130"/>
      <c r="S67" s="57"/>
      <c r="AF67" s="92"/>
    </row>
    <row r="68" spans="3:32" outlineLevel="1" x14ac:dyDescent="0.25">
      <c r="C68" s="6" t="s">
        <v>96</v>
      </c>
      <c r="F68" s="21" t="s">
        <v>33</v>
      </c>
      <c r="G68" s="99">
        <v>42</v>
      </c>
      <c r="H68" s="99">
        <v>132</v>
      </c>
      <c r="I68" s="99">
        <v>61</v>
      </c>
      <c r="J68" s="113">
        <f>I68+J131+J134</f>
        <v>61</v>
      </c>
      <c r="K68" s="113">
        <f>J68+K131+K134</f>
        <v>105.72742933214965</v>
      </c>
      <c r="L68" s="113">
        <f>K68+L131+L134</f>
        <v>224.62713976879536</v>
      </c>
      <c r="M68" s="113">
        <f>L68+M131+M134</f>
        <v>378.10302404083222</v>
      </c>
      <c r="N68" s="113">
        <f>M68+N131+N134</f>
        <v>576.63378101658463</v>
      </c>
      <c r="O68" s="113">
        <f>N68+O131+O134</f>
        <v>789.64764140516559</v>
      </c>
      <c r="P68" s="113">
        <f>O68+P131+P134</f>
        <v>1017.6959626287262</v>
      </c>
      <c r="Q68" s="113">
        <f>P68+Q131+Q134</f>
        <v>1265.6222946606231</v>
      </c>
      <c r="R68" s="113">
        <f>Q68+R131+R134</f>
        <v>1533.0424471638762</v>
      </c>
      <c r="S68" s="113">
        <f>R68+S131+S134</f>
        <v>1823.0552645199459</v>
      </c>
      <c r="AF68" s="92"/>
    </row>
    <row r="69" spans="3:32" outlineLevel="1" x14ac:dyDescent="0.25">
      <c r="C69" s="36" t="s">
        <v>97</v>
      </c>
      <c r="F69" s="21" t="s">
        <v>8</v>
      </c>
      <c r="G69" s="44"/>
      <c r="H69" s="44">
        <f>4/G68</f>
        <v>9.5238095238095233E-2</v>
      </c>
      <c r="I69" s="44">
        <f>3/H68</f>
        <v>2.2727272727272728E-2</v>
      </c>
      <c r="J69" s="43">
        <v>2.5000000000000001E-2</v>
      </c>
      <c r="K69" s="43">
        <v>3.5000000000000003E-2</v>
      </c>
      <c r="L69" s="43">
        <v>0.04</v>
      </c>
      <c r="M69" s="43">
        <v>0.04</v>
      </c>
      <c r="N69" s="43">
        <v>3.5000000000000003E-2</v>
      </c>
      <c r="O69" s="43">
        <v>0.03</v>
      </c>
      <c r="P69" s="43">
        <v>0.03</v>
      </c>
      <c r="Q69" s="43">
        <v>2.5000000000000001E-2</v>
      </c>
      <c r="R69" s="43">
        <v>2.5000000000000001E-2</v>
      </c>
      <c r="S69" s="43">
        <v>0.02</v>
      </c>
      <c r="AF69" s="92"/>
    </row>
    <row r="70" spans="3:32" outlineLevel="1" x14ac:dyDescent="0.25">
      <c r="J70" s="24"/>
      <c r="M70" s="25"/>
      <c r="O70" s="24"/>
      <c r="R70" s="25"/>
      <c r="AF70" s="92"/>
    </row>
    <row r="71" spans="3:32" outlineLevel="1" x14ac:dyDescent="0.25">
      <c r="C71" s="6" t="s">
        <v>98</v>
      </c>
      <c r="F71" s="21" t="s">
        <v>33</v>
      </c>
      <c r="G71" s="99">
        <f>3175</f>
        <v>3175</v>
      </c>
      <c r="H71" s="49">
        <f>3036+10</f>
        <v>3046</v>
      </c>
      <c r="I71" s="49">
        <f>3059+330</f>
        <v>3389</v>
      </c>
      <c r="J71" s="113">
        <f>I71+J134</f>
        <v>3588.207824953231</v>
      </c>
      <c r="K71" s="113">
        <f>J71+K134</f>
        <v>3588.207824953231</v>
      </c>
      <c r="L71" s="113">
        <f>K71+L134</f>
        <v>3588.207824953231</v>
      </c>
      <c r="M71" s="113">
        <f>L71+M134</f>
        <v>3588.207824953231</v>
      </c>
      <c r="N71" s="113">
        <f>M71+N134</f>
        <v>3588.207824953231</v>
      </c>
      <c r="O71" s="113">
        <f>N71+O134</f>
        <v>3588.207824953231</v>
      </c>
      <c r="P71" s="113">
        <f>O71+P134</f>
        <v>3588.207824953231</v>
      </c>
      <c r="Q71" s="113">
        <f>P71+Q134</f>
        <v>3588.207824953231</v>
      </c>
      <c r="R71" s="113">
        <f>Q71+R134</f>
        <v>3588.207824953231</v>
      </c>
      <c r="S71" s="113">
        <f>R71+S134</f>
        <v>3588.207824953231</v>
      </c>
      <c r="AF71" s="92"/>
    </row>
    <row r="72" spans="3:32" outlineLevel="1" x14ac:dyDescent="0.25">
      <c r="C72" s="36" t="s">
        <v>97</v>
      </c>
      <c r="F72" s="21" t="s">
        <v>8</v>
      </c>
      <c r="G72" s="44"/>
      <c r="H72" s="44">
        <f>-H96/G71</f>
        <v>3.5275590551181103E-2</v>
      </c>
      <c r="I72" s="44">
        <f>-I96/H71</f>
        <v>4.4977019041365723E-2</v>
      </c>
      <c r="J72" s="43">
        <v>5.5E-2</v>
      </c>
      <c r="K72" s="43">
        <v>6.5000000000000002E-2</v>
      </c>
      <c r="L72" s="43">
        <v>7.0000000000000007E-2</v>
      </c>
      <c r="M72" s="43">
        <v>7.0000000000000007E-2</v>
      </c>
      <c r="N72" s="43">
        <v>6.5000000000000002E-2</v>
      </c>
      <c r="O72" s="43">
        <v>0.06</v>
      </c>
      <c r="P72" s="43">
        <v>0.06</v>
      </c>
      <c r="Q72" s="43">
        <v>5.5E-2</v>
      </c>
      <c r="R72" s="43">
        <v>5.5E-2</v>
      </c>
      <c r="S72" s="43">
        <v>0.05</v>
      </c>
      <c r="AF72" s="92"/>
    </row>
    <row r="73" spans="3:32" outlineLevel="1" x14ac:dyDescent="0.25">
      <c r="J73" s="24"/>
      <c r="M73" s="25"/>
      <c r="O73" s="24"/>
      <c r="R73" s="25"/>
      <c r="AF73" s="92"/>
    </row>
    <row r="74" spans="3:32" outlineLevel="1" x14ac:dyDescent="0.25">
      <c r="C74" s="6" t="s">
        <v>103</v>
      </c>
      <c r="F74" s="21" t="s">
        <v>8</v>
      </c>
      <c r="G74" s="44"/>
      <c r="H74" s="44">
        <f>H98/G98-1</f>
        <v>0.16666666666666674</v>
      </c>
      <c r="I74" s="44">
        <f>I98/H98-1</f>
        <v>0.19047619047619047</v>
      </c>
      <c r="J74" s="43">
        <v>0.1</v>
      </c>
      <c r="K74" s="43">
        <v>0.1</v>
      </c>
      <c r="L74" s="43">
        <v>0.1</v>
      </c>
      <c r="M74" s="43">
        <v>0.09</v>
      </c>
      <c r="N74" s="43">
        <v>0.09</v>
      </c>
      <c r="O74" s="43">
        <v>0.08</v>
      </c>
      <c r="P74" s="43">
        <v>0.08</v>
      </c>
      <c r="Q74" s="43">
        <v>7.0000000000000007E-2</v>
      </c>
      <c r="R74" s="43">
        <v>7.0000000000000007E-2</v>
      </c>
      <c r="S74" s="43">
        <v>0.06</v>
      </c>
      <c r="AF74" s="92"/>
    </row>
    <row r="75" spans="3:32" outlineLevel="1" x14ac:dyDescent="0.25">
      <c r="C75" s="6" t="s">
        <v>107</v>
      </c>
      <c r="F75" s="21" t="s">
        <v>8</v>
      </c>
      <c r="G75" s="44">
        <f>G117/G98</f>
        <v>1.287037037037037</v>
      </c>
      <c r="H75" s="44">
        <f t="shared" ref="H75:I75" si="19">H117/H98</f>
        <v>1.0952380952380953</v>
      </c>
      <c r="I75" s="44">
        <f t="shared" si="19"/>
        <v>1.32</v>
      </c>
      <c r="J75" s="42">
        <f>AVERAGE(G75:I75)</f>
        <v>1.2340917107583775</v>
      </c>
      <c r="K75" s="42">
        <f>J75</f>
        <v>1.2340917107583775</v>
      </c>
      <c r="L75" s="42">
        <f t="shared" ref="L75:S77" si="20">K75</f>
        <v>1.2340917107583775</v>
      </c>
      <c r="M75" s="42">
        <f t="shared" si="20"/>
        <v>1.2340917107583775</v>
      </c>
      <c r="N75" s="42">
        <f t="shared" si="20"/>
        <v>1.2340917107583775</v>
      </c>
      <c r="O75" s="42">
        <f t="shared" si="20"/>
        <v>1.2340917107583775</v>
      </c>
      <c r="P75" s="42">
        <f t="shared" si="20"/>
        <v>1.2340917107583775</v>
      </c>
      <c r="Q75" s="42">
        <f t="shared" si="20"/>
        <v>1.2340917107583775</v>
      </c>
      <c r="R75" s="42">
        <f t="shared" si="20"/>
        <v>1.2340917107583775</v>
      </c>
      <c r="S75" s="42">
        <f t="shared" si="20"/>
        <v>1.2340917107583775</v>
      </c>
      <c r="AF75" s="92"/>
    </row>
    <row r="76" spans="3:32" outlineLevel="1" x14ac:dyDescent="0.25">
      <c r="J76" s="24"/>
      <c r="M76" s="25"/>
      <c r="O76" s="24"/>
      <c r="R76" s="25"/>
      <c r="AF76" s="92"/>
    </row>
    <row r="77" spans="3:32" outlineLevel="1" x14ac:dyDescent="0.25">
      <c r="C77" s="6" t="s">
        <v>108</v>
      </c>
      <c r="F77" s="21" t="s">
        <v>8</v>
      </c>
      <c r="G77" s="44">
        <f>-G118/G111</f>
        <v>1</v>
      </c>
      <c r="H77" s="44">
        <f t="shared" ref="H77:I77" si="21">-H118/H111</f>
        <v>0.9196428571428571</v>
      </c>
      <c r="I77" s="44">
        <f t="shared" si="21"/>
        <v>0.91240875912408759</v>
      </c>
      <c r="J77" s="42">
        <f>AVERAGE(G77:I77)</f>
        <v>0.94401720542231493</v>
      </c>
      <c r="K77" s="42">
        <f>J77</f>
        <v>0.94401720542231493</v>
      </c>
      <c r="L77" s="42">
        <f t="shared" si="20"/>
        <v>0.94401720542231493</v>
      </c>
      <c r="M77" s="42">
        <f t="shared" si="20"/>
        <v>0.94401720542231493</v>
      </c>
      <c r="N77" s="42">
        <f t="shared" si="20"/>
        <v>0.94401720542231493</v>
      </c>
      <c r="O77" s="42">
        <f t="shared" si="20"/>
        <v>0.94401720542231493</v>
      </c>
      <c r="P77" s="42">
        <f t="shared" si="20"/>
        <v>0.94401720542231493</v>
      </c>
      <c r="Q77" s="42">
        <f t="shared" si="20"/>
        <v>0.94401720542231493</v>
      </c>
      <c r="R77" s="42">
        <f t="shared" si="20"/>
        <v>0.94401720542231493</v>
      </c>
      <c r="S77" s="42">
        <f t="shared" si="20"/>
        <v>0.94401720542231493</v>
      </c>
      <c r="AF77" s="92"/>
    </row>
    <row r="78" spans="3:32" outlineLevel="1" x14ac:dyDescent="0.25">
      <c r="C78" s="6" t="s">
        <v>109</v>
      </c>
      <c r="F78" s="21" t="s">
        <v>8</v>
      </c>
      <c r="G78" s="44">
        <f>G119/G102</f>
        <v>2.5862068965517241E-2</v>
      </c>
      <c r="H78" s="44">
        <f t="shared" ref="H78:I78" si="22">H119/H102</f>
        <v>2.8846153846153848E-2</v>
      </c>
      <c r="I78" s="44">
        <f t="shared" si="22"/>
        <v>0.24</v>
      </c>
      <c r="J78" s="43">
        <v>0.3</v>
      </c>
      <c r="K78" s="43">
        <v>0.35</v>
      </c>
      <c r="L78" s="43">
        <v>0.45</v>
      </c>
      <c r="M78" s="43">
        <v>0.5</v>
      </c>
      <c r="N78" s="43">
        <v>0.5</v>
      </c>
      <c r="O78" s="43">
        <v>0.5</v>
      </c>
      <c r="P78" s="43">
        <v>0.5</v>
      </c>
      <c r="Q78" s="43">
        <v>0.5</v>
      </c>
      <c r="R78" s="43">
        <v>0.5</v>
      </c>
      <c r="S78" s="43">
        <v>0.5</v>
      </c>
      <c r="AF78" s="92"/>
    </row>
    <row r="79" spans="3:32" outlineLevel="1" x14ac:dyDescent="0.25">
      <c r="J79" s="24"/>
      <c r="M79" s="25"/>
      <c r="O79" s="24"/>
      <c r="R79" s="25"/>
      <c r="AF79" s="92"/>
    </row>
    <row r="80" spans="3:32" outlineLevel="1" x14ac:dyDescent="0.25">
      <c r="C80" s="6" t="s">
        <v>115</v>
      </c>
      <c r="F80" s="21" t="s">
        <v>116</v>
      </c>
      <c r="G80" s="26">
        <f>G71/G137</f>
        <v>5.6095406360424027</v>
      </c>
      <c r="H80" s="26">
        <f t="shared" ref="H80:S80" si="23">H71/H137</f>
        <v>5.3532513181019334</v>
      </c>
      <c r="I80" s="26">
        <f t="shared" si="23"/>
        <v>5.2299382716049383</v>
      </c>
      <c r="J80" s="26">
        <f t="shared" si="23"/>
        <v>5.0023701993582819</v>
      </c>
      <c r="K80" s="26">
        <f t="shared" si="23"/>
        <v>4.3167392026942615</v>
      </c>
      <c r="L80" s="26">
        <f t="shared" si="23"/>
        <v>3.9098602946048855</v>
      </c>
      <c r="M80" s="26">
        <f t="shared" si="23"/>
        <v>3.6334362598769698</v>
      </c>
      <c r="N80" s="26">
        <f t="shared" si="23"/>
        <v>3.4097577212314425</v>
      </c>
      <c r="O80" s="26">
        <f t="shared" si="23"/>
        <v>3.2394862760105547</v>
      </c>
      <c r="P80" s="26">
        <f t="shared" si="23"/>
        <v>3.0886840500460413</v>
      </c>
      <c r="Q80" s="26">
        <f t="shared" si="23"/>
        <v>2.9081884730123977</v>
      </c>
      <c r="R80" s="26">
        <f t="shared" si="23"/>
        <v>2.7324808183458011</v>
      </c>
      <c r="S80" s="26">
        <f t="shared" si="23"/>
        <v>2.5556667391772945</v>
      </c>
      <c r="AF80" s="92"/>
    </row>
    <row r="81" spans="2:32" outlineLevel="1" x14ac:dyDescent="0.25">
      <c r="J81" s="24"/>
      <c r="M81" s="25"/>
      <c r="O81" s="24"/>
      <c r="R81" s="25"/>
      <c r="AF81" s="92"/>
    </row>
    <row r="82" spans="2:32" x14ac:dyDescent="0.25">
      <c r="B82" s="13"/>
      <c r="C82" s="13"/>
      <c r="D82" s="13"/>
      <c r="E82" s="13"/>
      <c r="F82" s="13"/>
      <c r="G82" s="31" t="s">
        <v>17</v>
      </c>
      <c r="H82" s="32"/>
      <c r="I82" s="33"/>
      <c r="J82" s="31" t="s">
        <v>16</v>
      </c>
      <c r="K82" s="32"/>
      <c r="L82" s="32"/>
      <c r="M82" s="32"/>
      <c r="N82" s="32"/>
      <c r="O82" s="32"/>
      <c r="P82" s="32"/>
      <c r="Q82" s="32"/>
      <c r="R82" s="32"/>
      <c r="S82" s="32"/>
    </row>
    <row r="83" spans="2:32" x14ac:dyDescent="0.25">
      <c r="B83" s="14" t="str">
        <f>Company_Name&amp;" - Dividend Projections:"</f>
        <v>DT Midstream, Inc. - Dividend Projections:</v>
      </c>
      <c r="C83" s="14"/>
      <c r="D83" s="14"/>
      <c r="E83" s="14"/>
      <c r="F83" s="39" t="str">
        <f>$F$6</f>
        <v>Units:</v>
      </c>
      <c r="G83" s="28">
        <f>EOMONTH(H83,-12)</f>
        <v>44196</v>
      </c>
      <c r="H83" s="28">
        <f>EOMONTH(I83,-12)</f>
        <v>44561</v>
      </c>
      <c r="I83" s="34">
        <f>Hist_Year</f>
        <v>44926</v>
      </c>
      <c r="J83" s="28">
        <f>EOMONTH(I83,12)</f>
        <v>45291</v>
      </c>
      <c r="K83" s="28">
        <f t="shared" ref="K83:S83" si="24">EOMONTH(J83,12)</f>
        <v>45657</v>
      </c>
      <c r="L83" s="28">
        <f t="shared" si="24"/>
        <v>46022</v>
      </c>
      <c r="M83" s="28">
        <f t="shared" si="24"/>
        <v>46387</v>
      </c>
      <c r="N83" s="28">
        <f t="shared" si="24"/>
        <v>46752</v>
      </c>
      <c r="O83" s="28">
        <f t="shared" si="24"/>
        <v>47118</v>
      </c>
      <c r="P83" s="28">
        <f t="shared" si="24"/>
        <v>47483</v>
      </c>
      <c r="Q83" s="28">
        <f t="shared" si="24"/>
        <v>47848</v>
      </c>
      <c r="R83" s="28">
        <f t="shared" si="24"/>
        <v>48213</v>
      </c>
      <c r="S83" s="28">
        <f t="shared" si="24"/>
        <v>48579</v>
      </c>
      <c r="U83" s="92"/>
      <c r="V83" s="92"/>
      <c r="W83" s="92"/>
      <c r="X83" s="92"/>
      <c r="Y83" s="92"/>
      <c r="Z83" s="92"/>
      <c r="AA83" s="92"/>
      <c r="AB83" s="92"/>
      <c r="AC83" s="92"/>
      <c r="AD83" s="92"/>
    </row>
    <row r="84" spans="2:32" outlineLevel="1" x14ac:dyDescent="0.25"/>
    <row r="85" spans="2:32" outlineLevel="1" x14ac:dyDescent="0.25">
      <c r="C85" s="2" t="s">
        <v>18</v>
      </c>
      <c r="F85" s="21" t="s">
        <v>33</v>
      </c>
      <c r="G85" s="95">
        <f t="shared" ref="G85:S85" si="25">G34</f>
        <v>754</v>
      </c>
      <c r="H85" s="95">
        <f t="shared" si="25"/>
        <v>841</v>
      </c>
      <c r="I85" s="95">
        <f t="shared" si="25"/>
        <v>920</v>
      </c>
      <c r="J85" s="95">
        <f t="shared" si="25"/>
        <v>1067.5493670886078</v>
      </c>
      <c r="K85" s="95">
        <f t="shared" si="25"/>
        <v>1254.3491454829204</v>
      </c>
      <c r="L85" s="95">
        <f t="shared" si="25"/>
        <v>1390.2530477215194</v>
      </c>
      <c r="M85" s="95">
        <f t="shared" si="25"/>
        <v>1500.7733929797471</v>
      </c>
      <c r="N85" s="95">
        <f t="shared" si="25"/>
        <v>1616.6737312105197</v>
      </c>
      <c r="O85" s="95">
        <f t="shared" si="25"/>
        <v>1718.5383701977789</v>
      </c>
      <c r="P85" s="95">
        <f t="shared" si="25"/>
        <v>1818.6490948905753</v>
      </c>
      <c r="Q85" s="95">
        <f t="shared" si="25"/>
        <v>1932.0825566743881</v>
      </c>
      <c r="R85" s="95">
        <f t="shared" si="25"/>
        <v>2055.9709933311497</v>
      </c>
      <c r="S85" s="95">
        <f t="shared" si="25"/>
        <v>2196.8954076020277</v>
      </c>
    </row>
    <row r="86" spans="2:32" outlineLevel="1" x14ac:dyDescent="0.25">
      <c r="G86" s="30"/>
      <c r="H86" s="30"/>
      <c r="I86" s="30"/>
    </row>
    <row r="87" spans="2:32" outlineLevel="1" x14ac:dyDescent="0.25">
      <c r="C87" s="6" t="s">
        <v>67</v>
      </c>
      <c r="F87" s="21" t="s">
        <v>33</v>
      </c>
      <c r="G87" s="49">
        <f t="shared" ref="G87:S87" si="26">-G56</f>
        <v>-175</v>
      </c>
      <c r="H87" s="49">
        <f t="shared" si="26"/>
        <v>-231</v>
      </c>
      <c r="I87" s="49">
        <f t="shared" si="26"/>
        <v>-267</v>
      </c>
      <c r="J87" s="49">
        <f t="shared" si="26"/>
        <v>-324.85000000000002</v>
      </c>
      <c r="K87" s="49">
        <f t="shared" si="26"/>
        <v>-392.80950000000001</v>
      </c>
      <c r="L87" s="49">
        <f t="shared" si="26"/>
        <v>-438.63875000000007</v>
      </c>
      <c r="M87" s="49">
        <f t="shared" si="26"/>
        <v>-476.43450000000001</v>
      </c>
      <c r="N87" s="49">
        <f t="shared" si="26"/>
        <v>-524.50500000000011</v>
      </c>
      <c r="O87" s="49">
        <f t="shared" si="26"/>
        <v>-568.37970000000007</v>
      </c>
      <c r="P87" s="49">
        <f t="shared" si="26"/>
        <v>-611.77876363866324</v>
      </c>
      <c r="Q87" s="49">
        <f t="shared" si="26"/>
        <v>-650.1280717166469</v>
      </c>
      <c r="R87" s="49">
        <f t="shared" si="26"/>
        <v>-691.4202978326183</v>
      </c>
      <c r="S87" s="49">
        <f t="shared" si="26"/>
        <v>-737.78828409609696</v>
      </c>
    </row>
    <row r="88" spans="2:32" outlineLevel="1" x14ac:dyDescent="0.25">
      <c r="C88" s="6" t="s">
        <v>73</v>
      </c>
      <c r="F88" s="21" t="s">
        <v>33</v>
      </c>
      <c r="G88" s="97">
        <f t="shared" ref="G88:S88" si="27">-G59</f>
        <v>-152</v>
      </c>
      <c r="H88" s="97">
        <f t="shared" si="27"/>
        <v>-166</v>
      </c>
      <c r="I88" s="97">
        <f t="shared" si="27"/>
        <v>-170</v>
      </c>
      <c r="J88" s="97">
        <f t="shared" si="27"/>
        <v>-194.91</v>
      </c>
      <c r="K88" s="97">
        <f t="shared" si="27"/>
        <v>-222.345</v>
      </c>
      <c r="L88" s="97">
        <f t="shared" si="27"/>
        <v>-247.23275000000004</v>
      </c>
      <c r="M88" s="97">
        <f t="shared" si="27"/>
        <v>-259.11349999999999</v>
      </c>
      <c r="N88" s="97">
        <f t="shared" si="27"/>
        <v>-279.73600000000005</v>
      </c>
      <c r="O88" s="97">
        <f t="shared" si="27"/>
        <v>-288.70080000000007</v>
      </c>
      <c r="P88" s="97">
        <f t="shared" si="27"/>
        <v>-305.88938181933162</v>
      </c>
      <c r="Q88" s="97">
        <f t="shared" si="27"/>
        <v>-315.50332892131394</v>
      </c>
      <c r="R88" s="97">
        <f t="shared" si="27"/>
        <v>-335.83271609012888</v>
      </c>
      <c r="S88" s="97">
        <f t="shared" si="27"/>
        <v>-348.40002304537916</v>
      </c>
    </row>
    <row r="89" spans="2:32" outlineLevel="1" x14ac:dyDescent="0.25">
      <c r="C89" s="6" t="s">
        <v>74</v>
      </c>
      <c r="F89" s="21" t="s">
        <v>33</v>
      </c>
      <c r="G89" s="97">
        <f t="shared" ref="G89:S89" si="28">-G62</f>
        <v>-15</v>
      </c>
      <c r="H89" s="97">
        <f t="shared" si="28"/>
        <v>-24</v>
      </c>
      <c r="I89" s="97">
        <f t="shared" si="28"/>
        <v>-28</v>
      </c>
      <c r="J89" s="97">
        <f t="shared" si="28"/>
        <v>-28.064498292437918</v>
      </c>
      <c r="K89" s="97">
        <f t="shared" si="28"/>
        <v>-32.975223944472177</v>
      </c>
      <c r="L89" s="97">
        <f t="shared" si="28"/>
        <v>-36.547962545509854</v>
      </c>
      <c r="M89" s="97">
        <f t="shared" si="28"/>
        <v>-39.453400117205533</v>
      </c>
      <c r="N89" s="97">
        <f t="shared" si="28"/>
        <v>-42.500270776912004</v>
      </c>
      <c r="O89" s="97">
        <f t="shared" si="28"/>
        <v>-45.178160975764477</v>
      </c>
      <c r="P89" s="97">
        <f t="shared" si="28"/>
        <v>-47.809943026142022</v>
      </c>
      <c r="Q89" s="97">
        <f t="shared" si="28"/>
        <v>-50.791962680388984</v>
      </c>
      <c r="R89" s="97">
        <f t="shared" si="28"/>
        <v>-54.04883016230086</v>
      </c>
      <c r="S89" s="97">
        <f t="shared" si="28"/>
        <v>-57.753551560294625</v>
      </c>
    </row>
    <row r="90" spans="2:32" outlineLevel="1" x14ac:dyDescent="0.25">
      <c r="C90" s="6" t="s">
        <v>75</v>
      </c>
      <c r="F90" s="21" t="s">
        <v>33</v>
      </c>
      <c r="G90" s="97">
        <f t="shared" ref="G90:S90" si="29">-G65</f>
        <v>2</v>
      </c>
      <c r="H90" s="97">
        <f t="shared" si="29"/>
        <v>-17</v>
      </c>
      <c r="I90" s="97">
        <f t="shared" si="29"/>
        <v>23</v>
      </c>
      <c r="J90" s="97">
        <f t="shared" si="29"/>
        <v>2.6666666666666665</v>
      </c>
      <c r="K90" s="97">
        <f t="shared" si="29"/>
        <v>2.6666666666666665</v>
      </c>
      <c r="L90" s="97">
        <f t="shared" si="29"/>
        <v>2.6666666666666665</v>
      </c>
      <c r="M90" s="97">
        <f t="shared" si="29"/>
        <v>2.6666666666666665</v>
      </c>
      <c r="N90" s="97">
        <f t="shared" si="29"/>
        <v>2.6666666666666665</v>
      </c>
      <c r="O90" s="97">
        <f t="shared" si="29"/>
        <v>2.6666666666666665</v>
      </c>
      <c r="P90" s="97">
        <f t="shared" si="29"/>
        <v>2.6666666666666665</v>
      </c>
      <c r="Q90" s="97">
        <f t="shared" si="29"/>
        <v>2.6666666666666665</v>
      </c>
      <c r="R90" s="97">
        <f t="shared" si="29"/>
        <v>2.6666666666666665</v>
      </c>
      <c r="S90" s="97">
        <f t="shared" si="29"/>
        <v>2.6666666666666665</v>
      </c>
    </row>
    <row r="91" spans="2:32" outlineLevel="1" x14ac:dyDescent="0.25"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2:32" outlineLevel="1" x14ac:dyDescent="0.25">
      <c r="C92" s="2" t="s">
        <v>19</v>
      </c>
      <c r="F92" s="21" t="s">
        <v>33</v>
      </c>
      <c r="G92" s="98">
        <f>G85+SUM(G87:G90)</f>
        <v>414</v>
      </c>
      <c r="H92" s="98">
        <f t="shared" ref="H92:I92" si="30">H85+SUM(H87:H90)</f>
        <v>403</v>
      </c>
      <c r="I92" s="98">
        <f t="shared" si="30"/>
        <v>478</v>
      </c>
      <c r="J92" s="98">
        <f t="shared" ref="J92:S92" si="31">J85+SUM(J87:J90)</f>
        <v>522.39153546283649</v>
      </c>
      <c r="K92" s="98">
        <f t="shared" si="31"/>
        <v>608.8860882051149</v>
      </c>
      <c r="L92" s="98">
        <f t="shared" si="31"/>
        <v>670.50025184267599</v>
      </c>
      <c r="M92" s="98">
        <f t="shared" si="31"/>
        <v>728.43865952920817</v>
      </c>
      <c r="N92" s="98">
        <f t="shared" si="31"/>
        <v>772.59912710027413</v>
      </c>
      <c r="O92" s="98">
        <f t="shared" si="31"/>
        <v>818.9463758886809</v>
      </c>
      <c r="P92" s="98">
        <f t="shared" si="31"/>
        <v>855.83767307310507</v>
      </c>
      <c r="Q92" s="98">
        <f t="shared" si="31"/>
        <v>918.32586002270489</v>
      </c>
      <c r="R92" s="98">
        <f t="shared" si="31"/>
        <v>977.33581591276834</v>
      </c>
      <c r="S92" s="98">
        <f t="shared" si="31"/>
        <v>1055.6202155669237</v>
      </c>
    </row>
    <row r="93" spans="2:32" outlineLevel="1" x14ac:dyDescent="0.25">
      <c r="C93" s="47" t="s">
        <v>35</v>
      </c>
      <c r="F93" s="21" t="s">
        <v>8</v>
      </c>
      <c r="G93" s="48">
        <f>G92/G85</f>
        <v>0.54907161803713533</v>
      </c>
      <c r="H93" s="48">
        <f>H92/H85</f>
        <v>0.47919143876337694</v>
      </c>
      <c r="I93" s="48">
        <f>I92/I85</f>
        <v>0.51956521739130435</v>
      </c>
      <c r="J93" s="48">
        <f>J92/J85</f>
        <v>0.4893371225421535</v>
      </c>
      <c r="K93" s="48">
        <f t="shared" ref="K93:S93" si="32">K92/K85</f>
        <v>0.48541994100908459</v>
      </c>
      <c r="L93" s="48">
        <f t="shared" si="32"/>
        <v>0.48228648226418663</v>
      </c>
      <c r="M93" s="48">
        <f t="shared" si="32"/>
        <v>0.48537551567522924</v>
      </c>
      <c r="N93" s="48">
        <f t="shared" si="32"/>
        <v>0.47789427896609277</v>
      </c>
      <c r="O93" s="48">
        <f t="shared" si="32"/>
        <v>0.47653656740549355</v>
      </c>
      <c r="P93" s="48">
        <f t="shared" si="32"/>
        <v>0.47058977758686277</v>
      </c>
      <c r="Q93" s="48">
        <f t="shared" si="32"/>
        <v>0.47530363381748048</v>
      </c>
      <c r="R93" s="48">
        <f t="shared" si="32"/>
        <v>0.47536459370433903</v>
      </c>
      <c r="S93" s="48">
        <f t="shared" si="32"/>
        <v>0.48050544960588837</v>
      </c>
    </row>
    <row r="94" spans="2:32" outlineLevel="1" x14ac:dyDescent="0.25">
      <c r="C94" s="47" t="s">
        <v>36</v>
      </c>
      <c r="F94" s="21" t="s">
        <v>8</v>
      </c>
      <c r="G94" s="48"/>
      <c r="H94" s="48">
        <f>H92/G92-1</f>
        <v>-2.6570048309178751E-2</v>
      </c>
      <c r="I94" s="48">
        <f t="shared" ref="I94:J94" si="33">I92/H92-1</f>
        <v>0.18610421836228297</v>
      </c>
      <c r="J94" s="48">
        <f t="shared" si="33"/>
        <v>9.2869321051959108E-2</v>
      </c>
      <c r="K94" s="48">
        <f t="shared" ref="K94" si="34">K92/J92-1</f>
        <v>0.16557418501363097</v>
      </c>
      <c r="L94" s="48">
        <f t="shared" ref="L94" si="35">L92/K92-1</f>
        <v>0.10119161010754629</v>
      </c>
      <c r="M94" s="48">
        <f t="shared" ref="M94" si="36">M92/L92-1</f>
        <v>8.641071726267846E-2</v>
      </c>
      <c r="N94" s="48">
        <f t="shared" ref="N94" si="37">N92/M92-1</f>
        <v>6.0623454004496313E-2</v>
      </c>
      <c r="O94" s="48">
        <f t="shared" ref="O94" si="38">O92/N92-1</f>
        <v>5.9988740813567309E-2</v>
      </c>
      <c r="P94" s="48">
        <f t="shared" ref="P94" si="39">P92/O92-1</f>
        <v>4.5047268381145811E-2</v>
      </c>
      <c r="Q94" s="48">
        <f t="shared" ref="Q94" si="40">Q92/P92-1</f>
        <v>7.3014064367159737E-2</v>
      </c>
      <c r="R94" s="48">
        <f t="shared" ref="R94" si="41">R92/Q92-1</f>
        <v>6.425818814315476E-2</v>
      </c>
      <c r="S94" s="48">
        <f t="shared" ref="S94" si="42">S92/R92-1</f>
        <v>8.0099796180131522E-2</v>
      </c>
    </row>
    <row r="95" spans="2:32" outlineLevel="1" x14ac:dyDescent="0.25"/>
    <row r="96" spans="2:32" outlineLevel="1" x14ac:dyDescent="0.25">
      <c r="C96" s="6" t="s">
        <v>45</v>
      </c>
      <c r="F96" s="21" t="s">
        <v>33</v>
      </c>
      <c r="G96" s="99">
        <v>-113</v>
      </c>
      <c r="H96" s="99">
        <v>-112</v>
      </c>
      <c r="I96" s="99">
        <v>-137</v>
      </c>
      <c r="J96" s="49">
        <f>-J72*I71</f>
        <v>-186.39500000000001</v>
      </c>
      <c r="K96" s="49">
        <f>-K72*J71</f>
        <v>-233.23350862196003</v>
      </c>
      <c r="L96" s="49">
        <f>-L72*K71</f>
        <v>-251.1745477467262</v>
      </c>
      <c r="M96" s="49">
        <f>-M72*L71</f>
        <v>-251.1745477467262</v>
      </c>
      <c r="N96" s="49">
        <f>-N72*M71</f>
        <v>-233.23350862196003</v>
      </c>
      <c r="O96" s="49">
        <f>-O72*N71</f>
        <v>-215.29246949719385</v>
      </c>
      <c r="P96" s="49">
        <f>-P72*O71</f>
        <v>-215.29246949719385</v>
      </c>
      <c r="Q96" s="49">
        <f>-Q72*P71</f>
        <v>-197.3514303724277</v>
      </c>
      <c r="R96" s="49">
        <f>-R72*Q71</f>
        <v>-197.3514303724277</v>
      </c>
      <c r="S96" s="49">
        <f>-S72*R71</f>
        <v>-179.41039124766155</v>
      </c>
    </row>
    <row r="97" spans="3:19" outlineLevel="1" x14ac:dyDescent="0.25">
      <c r="C97" s="6" t="s">
        <v>56</v>
      </c>
      <c r="F97" s="21" t="s">
        <v>33</v>
      </c>
      <c r="G97" s="99">
        <v>31</v>
      </c>
      <c r="H97" s="99">
        <v>6</v>
      </c>
      <c r="I97" s="99">
        <v>-9</v>
      </c>
      <c r="J97" s="49">
        <f>J69*I68</f>
        <v>1.5250000000000001</v>
      </c>
      <c r="K97" s="49">
        <f>K69*J68</f>
        <v>2.1350000000000002</v>
      </c>
      <c r="L97" s="49">
        <f>L69*K68</f>
        <v>4.2290971732859859</v>
      </c>
      <c r="M97" s="49">
        <f>M69*L68</f>
        <v>8.9850855907518152</v>
      </c>
      <c r="N97" s="49">
        <f>N69*M68</f>
        <v>13.23360584142913</v>
      </c>
      <c r="O97" s="49">
        <f>O69*N68</f>
        <v>17.299013430497538</v>
      </c>
      <c r="P97" s="49">
        <f>P69*O68</f>
        <v>23.689429242154965</v>
      </c>
      <c r="Q97" s="49">
        <f>Q69*P68</f>
        <v>25.442399065718156</v>
      </c>
      <c r="R97" s="49">
        <f>R69*Q68</f>
        <v>31.64055736651558</v>
      </c>
      <c r="S97" s="49">
        <f>S69*R68</f>
        <v>30.660848943277525</v>
      </c>
    </row>
    <row r="98" spans="3:19" outlineLevel="1" x14ac:dyDescent="0.25">
      <c r="C98" s="6" t="s">
        <v>76</v>
      </c>
      <c r="F98" s="21" t="s">
        <v>33</v>
      </c>
      <c r="G98" s="99">
        <v>108</v>
      </c>
      <c r="H98" s="99">
        <v>126</v>
      </c>
      <c r="I98" s="99">
        <v>150</v>
      </c>
      <c r="J98" s="49">
        <f>I98*(1+J74)</f>
        <v>165</v>
      </c>
      <c r="K98" s="49">
        <f>J98*(1+K74)</f>
        <v>181.50000000000003</v>
      </c>
      <c r="L98" s="49">
        <f>K98*(1+L74)</f>
        <v>199.65000000000003</v>
      </c>
      <c r="M98" s="49">
        <f>L98*(1+M74)</f>
        <v>217.61850000000004</v>
      </c>
      <c r="N98" s="49">
        <f>M98*(1+N74)</f>
        <v>237.20416500000007</v>
      </c>
      <c r="O98" s="49">
        <f>N98*(1+O74)</f>
        <v>256.1804982000001</v>
      </c>
      <c r="P98" s="49">
        <f>O98*(1+P74)</f>
        <v>276.67493805600014</v>
      </c>
      <c r="Q98" s="49">
        <f>P98*(1+Q74)</f>
        <v>296.04218371992016</v>
      </c>
      <c r="R98" s="49">
        <f>Q98*(1+R74)</f>
        <v>316.76513658031462</v>
      </c>
      <c r="S98" s="49">
        <f>R98*(1+S74)</f>
        <v>335.77104477513353</v>
      </c>
    </row>
    <row r="99" spans="3:19" outlineLevel="1" x14ac:dyDescent="0.25"/>
    <row r="100" spans="3:19" outlineLevel="1" x14ac:dyDescent="0.25">
      <c r="C100" s="2" t="s">
        <v>104</v>
      </c>
      <c r="F100" s="21" t="s">
        <v>33</v>
      </c>
      <c r="G100" s="98">
        <f>G92+SUM(G96:G98)</f>
        <v>440</v>
      </c>
      <c r="H100" s="98">
        <f t="shared" ref="H100:S100" si="43">H92+SUM(H96:H98)</f>
        <v>423</v>
      </c>
      <c r="I100" s="98">
        <f t="shared" si="43"/>
        <v>482</v>
      </c>
      <c r="J100" s="98">
        <f t="shared" si="43"/>
        <v>502.52153546283648</v>
      </c>
      <c r="K100" s="98">
        <f t="shared" si="43"/>
        <v>559.28757958315487</v>
      </c>
      <c r="L100" s="98">
        <f t="shared" si="43"/>
        <v>623.20480126923576</v>
      </c>
      <c r="M100" s="98">
        <f t="shared" si="43"/>
        <v>703.8676973732338</v>
      </c>
      <c r="N100" s="98">
        <f t="shared" si="43"/>
        <v>789.80338931974325</v>
      </c>
      <c r="O100" s="98">
        <f t="shared" si="43"/>
        <v>877.13341802198465</v>
      </c>
      <c r="P100" s="98">
        <f t="shared" si="43"/>
        <v>940.90957087406628</v>
      </c>
      <c r="Q100" s="98">
        <f t="shared" si="43"/>
        <v>1042.4590124359156</v>
      </c>
      <c r="R100" s="98">
        <f t="shared" si="43"/>
        <v>1128.3900794871709</v>
      </c>
      <c r="S100" s="98">
        <f t="shared" si="43"/>
        <v>1242.6417180376732</v>
      </c>
    </row>
    <row r="101" spans="3:19" outlineLevel="1" x14ac:dyDescent="0.25"/>
    <row r="102" spans="3:19" outlineLevel="1" x14ac:dyDescent="0.25">
      <c r="C102" s="6" t="s">
        <v>66</v>
      </c>
      <c r="F102" s="21" t="s">
        <v>33</v>
      </c>
      <c r="G102" s="99">
        <v>-116</v>
      </c>
      <c r="H102" s="99">
        <v>-104</v>
      </c>
      <c r="I102" s="99">
        <v>-100</v>
      </c>
      <c r="J102" s="49">
        <f t="shared" ref="J102:S102" si="44">-J100*Tax_Rate</f>
        <v>-120.43766133259314</v>
      </c>
      <c r="K102" s="49">
        <f t="shared" si="44"/>
        <v>-134.04258990676277</v>
      </c>
      <c r="L102" s="49">
        <f t="shared" si="44"/>
        <v>-149.36141737086018</v>
      </c>
      <c r="M102" s="49">
        <f t="shared" si="44"/>
        <v>-168.69362480378504</v>
      </c>
      <c r="N102" s="49">
        <f t="shared" si="44"/>
        <v>-189.28954564029846</v>
      </c>
      <c r="O102" s="49">
        <f t="shared" si="44"/>
        <v>-210.219642519269</v>
      </c>
      <c r="P102" s="49">
        <f t="shared" si="44"/>
        <v>-225.50466048615121</v>
      </c>
      <c r="Q102" s="49">
        <f t="shared" si="44"/>
        <v>-249.8426766471411</v>
      </c>
      <c r="R102" s="49">
        <f t="shared" si="44"/>
        <v>-270.43748905042526</v>
      </c>
      <c r="S102" s="49">
        <f t="shared" si="44"/>
        <v>-297.819798423029</v>
      </c>
    </row>
    <row r="103" spans="3:19" outlineLevel="1" x14ac:dyDescent="0.25">
      <c r="G103" s="94"/>
      <c r="H103" s="94"/>
      <c r="I103" s="94"/>
    </row>
    <row r="104" spans="3:19" outlineLevel="1" x14ac:dyDescent="0.25">
      <c r="C104" s="2" t="s">
        <v>105</v>
      </c>
      <c r="F104" s="21" t="s">
        <v>33</v>
      </c>
      <c r="G104" s="98">
        <f>G100+G102</f>
        <v>324</v>
      </c>
      <c r="H104" s="98">
        <f t="shared" ref="H104:J104" si="45">H100+H102</f>
        <v>319</v>
      </c>
      <c r="I104" s="98">
        <f t="shared" si="45"/>
        <v>382</v>
      </c>
      <c r="J104" s="98">
        <f t="shared" si="45"/>
        <v>382.08387413024332</v>
      </c>
      <c r="K104" s="98">
        <f t="shared" ref="K104:S104" si="46">K100+K102</f>
        <v>425.24498967639209</v>
      </c>
      <c r="L104" s="98">
        <f t="shared" si="46"/>
        <v>473.84338389837558</v>
      </c>
      <c r="M104" s="98">
        <f t="shared" si="46"/>
        <v>535.17407256944875</v>
      </c>
      <c r="N104" s="98">
        <f t="shared" si="46"/>
        <v>600.51384367944479</v>
      </c>
      <c r="O104" s="98">
        <f t="shared" si="46"/>
        <v>666.91377550271568</v>
      </c>
      <c r="P104" s="98">
        <f t="shared" si="46"/>
        <v>715.40491038791504</v>
      </c>
      <c r="Q104" s="98">
        <f t="shared" si="46"/>
        <v>792.61633578877445</v>
      </c>
      <c r="R104" s="98">
        <f t="shared" si="46"/>
        <v>857.9525904367456</v>
      </c>
      <c r="S104" s="98">
        <f t="shared" si="46"/>
        <v>944.82191961464423</v>
      </c>
    </row>
    <row r="105" spans="3:19" outlineLevel="1" x14ac:dyDescent="0.25">
      <c r="C105" s="6" t="s">
        <v>46</v>
      </c>
      <c r="F105" s="41" t="s">
        <v>33</v>
      </c>
      <c r="G105" s="99">
        <v>-12</v>
      </c>
      <c r="H105" s="99">
        <v>-11</v>
      </c>
      <c r="I105" s="99">
        <v>-12</v>
      </c>
      <c r="J105" s="105">
        <f>AVERAGE(G105:I105)</f>
        <v>-11.666666666666666</v>
      </c>
      <c r="K105" s="105">
        <f>J105</f>
        <v>-11.666666666666666</v>
      </c>
      <c r="L105" s="105">
        <f t="shared" ref="L105:S105" si="47">K105</f>
        <v>-11.666666666666666</v>
      </c>
      <c r="M105" s="105">
        <f t="shared" si="47"/>
        <v>-11.666666666666666</v>
      </c>
      <c r="N105" s="105">
        <f t="shared" si="47"/>
        <v>-11.666666666666666</v>
      </c>
      <c r="O105" s="105">
        <f t="shared" si="47"/>
        <v>-11.666666666666666</v>
      </c>
      <c r="P105" s="105">
        <f t="shared" si="47"/>
        <v>-11.666666666666666</v>
      </c>
      <c r="Q105" s="105">
        <f t="shared" si="47"/>
        <v>-11.666666666666666</v>
      </c>
      <c r="R105" s="105">
        <f t="shared" si="47"/>
        <v>-11.666666666666666</v>
      </c>
      <c r="S105" s="105">
        <f t="shared" si="47"/>
        <v>-11.666666666666666</v>
      </c>
    </row>
    <row r="106" spans="3:19" outlineLevel="1" x14ac:dyDescent="0.25">
      <c r="C106" s="37" t="s">
        <v>106</v>
      </c>
      <c r="D106" s="38"/>
      <c r="E106" s="38"/>
      <c r="F106" s="21" t="s">
        <v>33</v>
      </c>
      <c r="G106" s="100">
        <f>SUM(G104:G105)</f>
        <v>312</v>
      </c>
      <c r="H106" s="100">
        <f>SUM(H104:H105)</f>
        <v>308</v>
      </c>
      <c r="I106" s="100">
        <f>SUM(I104:I105)</f>
        <v>370</v>
      </c>
      <c r="J106" s="100">
        <f>SUM(J104:J105)</f>
        <v>370.41720746357663</v>
      </c>
      <c r="K106" s="100">
        <f t="shared" ref="K106:S106" si="48">SUM(K104:K105)</f>
        <v>413.57832300972541</v>
      </c>
      <c r="L106" s="100">
        <f t="shared" si="48"/>
        <v>462.17671723170889</v>
      </c>
      <c r="M106" s="100">
        <f t="shared" si="48"/>
        <v>523.50740590278212</v>
      </c>
      <c r="N106" s="100">
        <f t="shared" si="48"/>
        <v>588.84717701277816</v>
      </c>
      <c r="O106" s="100">
        <f t="shared" si="48"/>
        <v>655.24710883604905</v>
      </c>
      <c r="P106" s="100">
        <f t="shared" si="48"/>
        <v>703.73824372124841</v>
      </c>
      <c r="Q106" s="100">
        <f t="shared" si="48"/>
        <v>780.94966912210782</v>
      </c>
      <c r="R106" s="100">
        <f t="shared" si="48"/>
        <v>846.28592377007897</v>
      </c>
      <c r="S106" s="100">
        <f t="shared" si="48"/>
        <v>933.1552529479776</v>
      </c>
    </row>
    <row r="107" spans="3:19" outlineLevel="1" x14ac:dyDescent="0.25">
      <c r="C107" s="47" t="s">
        <v>36</v>
      </c>
      <c r="H107" s="96">
        <f>H106/G106-1</f>
        <v>-1.2820512820512775E-2</v>
      </c>
      <c r="I107" s="96">
        <f t="shared" ref="I107:J107" si="49">I106/H106-1</f>
        <v>0.20129870129870131</v>
      </c>
      <c r="J107" s="96">
        <f t="shared" si="49"/>
        <v>1.1275877393963629E-3</v>
      </c>
      <c r="K107" s="96">
        <f t="shared" ref="K107" si="50">K106/J106-1</f>
        <v>0.11652027680272603</v>
      </c>
      <c r="L107" s="96">
        <f t="shared" ref="L107" si="51">L106/K106-1</f>
        <v>0.11750711175653339</v>
      </c>
      <c r="M107" s="96">
        <f t="shared" ref="M107" si="52">M106/L106-1</f>
        <v>0.1326996501217641</v>
      </c>
      <c r="N107" s="96">
        <f t="shared" ref="N107" si="53">N106/M106-1</f>
        <v>0.12481155065479621</v>
      </c>
      <c r="O107" s="96">
        <f t="shared" ref="O107" si="54">O106/N106-1</f>
        <v>0.11276258835122177</v>
      </c>
      <c r="P107" s="96">
        <f t="shared" ref="P107" si="55">P106/O106-1</f>
        <v>7.4004347720567187E-2</v>
      </c>
      <c r="Q107" s="96">
        <f t="shared" ref="Q107" si="56">Q106/P106-1</f>
        <v>0.10971611403776849</v>
      </c>
      <c r="R107" s="96">
        <f t="shared" ref="R107" si="57">R106/Q106-1</f>
        <v>8.3662567808521882E-2</v>
      </c>
      <c r="S107" s="96">
        <f t="shared" ref="S107" si="58">S106/R106-1</f>
        <v>0.1026477302031783</v>
      </c>
    </row>
    <row r="108" spans="3:19" outlineLevel="1" x14ac:dyDescent="0.25"/>
    <row r="109" spans="3:19" outlineLevel="1" x14ac:dyDescent="0.25">
      <c r="C109" s="2" t="s">
        <v>77</v>
      </c>
    </row>
    <row r="110" spans="3:19" outlineLevel="1" x14ac:dyDescent="0.25">
      <c r="C110" s="6" t="s">
        <v>78</v>
      </c>
      <c r="F110" s="21" t="s">
        <v>33</v>
      </c>
      <c r="G110" s="97">
        <f>G106</f>
        <v>312</v>
      </c>
      <c r="H110" s="97">
        <f t="shared" ref="H110:I110" si="59">H106</f>
        <v>308</v>
      </c>
      <c r="I110" s="97">
        <f t="shared" si="59"/>
        <v>370</v>
      </c>
      <c r="J110" s="97">
        <f t="shared" ref="J110:S110" si="60">J106</f>
        <v>370.41720746357663</v>
      </c>
      <c r="K110" s="97">
        <f t="shared" si="60"/>
        <v>413.57832300972541</v>
      </c>
      <c r="L110" s="97">
        <f t="shared" si="60"/>
        <v>462.17671723170889</v>
      </c>
      <c r="M110" s="97">
        <f t="shared" si="60"/>
        <v>523.50740590278212</v>
      </c>
      <c r="N110" s="97">
        <f t="shared" si="60"/>
        <v>588.84717701277816</v>
      </c>
      <c r="O110" s="97">
        <f t="shared" si="60"/>
        <v>655.24710883604905</v>
      </c>
      <c r="P110" s="97">
        <f t="shared" si="60"/>
        <v>703.73824372124841</v>
      </c>
      <c r="Q110" s="97">
        <f t="shared" si="60"/>
        <v>780.94966912210782</v>
      </c>
      <c r="R110" s="97">
        <f t="shared" si="60"/>
        <v>846.28592377007897</v>
      </c>
      <c r="S110" s="97">
        <f t="shared" si="60"/>
        <v>933.1552529479776</v>
      </c>
    </row>
    <row r="111" spans="3:19" outlineLevel="1" x14ac:dyDescent="0.25">
      <c r="C111" s="6" t="s">
        <v>79</v>
      </c>
      <c r="F111" s="21" t="s">
        <v>33</v>
      </c>
      <c r="G111" s="97">
        <f>-G96</f>
        <v>113</v>
      </c>
      <c r="H111" s="97">
        <f t="shared" ref="H111:I111" si="61">-H96</f>
        <v>112</v>
      </c>
      <c r="I111" s="97">
        <f t="shared" si="61"/>
        <v>137</v>
      </c>
      <c r="J111" s="97">
        <f t="shared" ref="J111:S111" si="62">-J96</f>
        <v>186.39500000000001</v>
      </c>
      <c r="K111" s="97">
        <f t="shared" si="62"/>
        <v>233.23350862196003</v>
      </c>
      <c r="L111" s="97">
        <f t="shared" si="62"/>
        <v>251.1745477467262</v>
      </c>
      <c r="M111" s="97">
        <f t="shared" si="62"/>
        <v>251.1745477467262</v>
      </c>
      <c r="N111" s="97">
        <f t="shared" si="62"/>
        <v>233.23350862196003</v>
      </c>
      <c r="O111" s="97">
        <f t="shared" si="62"/>
        <v>215.29246949719385</v>
      </c>
      <c r="P111" s="97">
        <f t="shared" si="62"/>
        <v>215.29246949719385</v>
      </c>
      <c r="Q111" s="97">
        <f t="shared" si="62"/>
        <v>197.3514303724277</v>
      </c>
      <c r="R111" s="97">
        <f t="shared" si="62"/>
        <v>197.3514303724277</v>
      </c>
      <c r="S111" s="97">
        <f t="shared" si="62"/>
        <v>179.41039124766155</v>
      </c>
    </row>
    <row r="112" spans="3:19" outlineLevel="1" x14ac:dyDescent="0.25">
      <c r="C112" s="6" t="s">
        <v>80</v>
      </c>
      <c r="F112" s="21" t="s">
        <v>33</v>
      </c>
      <c r="G112" s="97">
        <f>-G102</f>
        <v>116</v>
      </c>
      <c r="H112" s="97">
        <f t="shared" ref="H112:I112" si="63">-H102</f>
        <v>104</v>
      </c>
      <c r="I112" s="97">
        <f t="shared" si="63"/>
        <v>100</v>
      </c>
      <c r="J112" s="97">
        <f t="shared" ref="J112:S112" si="64">-J102</f>
        <v>120.43766133259314</v>
      </c>
      <c r="K112" s="97">
        <f t="shared" si="64"/>
        <v>134.04258990676277</v>
      </c>
      <c r="L112" s="97">
        <f t="shared" si="64"/>
        <v>149.36141737086018</v>
      </c>
      <c r="M112" s="97">
        <f t="shared" si="64"/>
        <v>168.69362480378504</v>
      </c>
      <c r="N112" s="97">
        <f t="shared" si="64"/>
        <v>189.28954564029846</v>
      </c>
      <c r="O112" s="97">
        <f t="shared" si="64"/>
        <v>210.219642519269</v>
      </c>
      <c r="P112" s="97">
        <f t="shared" si="64"/>
        <v>225.50466048615121</v>
      </c>
      <c r="Q112" s="97">
        <f t="shared" si="64"/>
        <v>249.8426766471411</v>
      </c>
      <c r="R112" s="97">
        <f t="shared" si="64"/>
        <v>270.43748905042526</v>
      </c>
      <c r="S112" s="97">
        <f t="shared" si="64"/>
        <v>297.819798423029</v>
      </c>
    </row>
    <row r="113" spans="3:19" outlineLevel="1" x14ac:dyDescent="0.25">
      <c r="C113" s="6" t="s">
        <v>20</v>
      </c>
      <c r="F113" s="21" t="s">
        <v>33</v>
      </c>
      <c r="G113" s="97">
        <f>-G88</f>
        <v>152</v>
      </c>
      <c r="H113" s="97">
        <f t="shared" ref="H113:I113" si="65">-H88</f>
        <v>166</v>
      </c>
      <c r="I113" s="97">
        <f t="shared" si="65"/>
        <v>170</v>
      </c>
      <c r="J113" s="97">
        <f t="shared" ref="J113:S113" si="66">-J88</f>
        <v>194.91</v>
      </c>
      <c r="K113" s="97">
        <f t="shared" si="66"/>
        <v>222.345</v>
      </c>
      <c r="L113" s="97">
        <f t="shared" si="66"/>
        <v>247.23275000000004</v>
      </c>
      <c r="M113" s="97">
        <f t="shared" si="66"/>
        <v>259.11349999999999</v>
      </c>
      <c r="N113" s="97">
        <f t="shared" si="66"/>
        <v>279.73600000000005</v>
      </c>
      <c r="O113" s="97">
        <f t="shared" si="66"/>
        <v>288.70080000000007</v>
      </c>
      <c r="P113" s="97">
        <f t="shared" si="66"/>
        <v>305.88938181933162</v>
      </c>
      <c r="Q113" s="97">
        <f t="shared" si="66"/>
        <v>315.50332892131394</v>
      </c>
      <c r="R113" s="97">
        <f t="shared" si="66"/>
        <v>335.83271609012888</v>
      </c>
      <c r="S113" s="97">
        <f t="shared" si="66"/>
        <v>348.40002304537916</v>
      </c>
    </row>
    <row r="114" spans="3:19" outlineLevel="1" x14ac:dyDescent="0.25">
      <c r="C114" s="6" t="s">
        <v>81</v>
      </c>
      <c r="F114" s="21" t="s">
        <v>33</v>
      </c>
      <c r="G114" s="99">
        <v>-16</v>
      </c>
      <c r="H114" s="99">
        <v>39</v>
      </c>
      <c r="I114" s="99">
        <v>-4</v>
      </c>
      <c r="J114" s="105">
        <f>AVERAGE(G114:I114)</f>
        <v>6.333333333333333</v>
      </c>
      <c r="K114" s="105">
        <f>J114</f>
        <v>6.333333333333333</v>
      </c>
      <c r="L114" s="105">
        <f t="shared" ref="L114:S116" si="67">K114</f>
        <v>6.333333333333333</v>
      </c>
      <c r="M114" s="105">
        <f t="shared" si="67"/>
        <v>6.333333333333333</v>
      </c>
      <c r="N114" s="105">
        <f t="shared" si="67"/>
        <v>6.333333333333333</v>
      </c>
      <c r="O114" s="105">
        <f t="shared" si="67"/>
        <v>6.333333333333333</v>
      </c>
      <c r="P114" s="105">
        <f t="shared" si="67"/>
        <v>6.333333333333333</v>
      </c>
      <c r="Q114" s="105">
        <f t="shared" si="67"/>
        <v>6.333333333333333</v>
      </c>
      <c r="R114" s="105">
        <f t="shared" si="67"/>
        <v>6.333333333333333</v>
      </c>
      <c r="S114" s="105">
        <f t="shared" si="67"/>
        <v>6.333333333333333</v>
      </c>
    </row>
    <row r="115" spans="3:19" outlineLevel="1" x14ac:dyDescent="0.25">
      <c r="C115" s="6" t="s">
        <v>82</v>
      </c>
      <c r="F115" s="21" t="s">
        <v>33</v>
      </c>
      <c r="G115" s="97">
        <f>-G98</f>
        <v>-108</v>
      </c>
      <c r="H115" s="97">
        <f t="shared" ref="H115:S115" si="68">-H98</f>
        <v>-126</v>
      </c>
      <c r="I115" s="97">
        <f t="shared" si="68"/>
        <v>-150</v>
      </c>
      <c r="J115" s="97">
        <f t="shared" si="68"/>
        <v>-165</v>
      </c>
      <c r="K115" s="97">
        <f t="shared" si="68"/>
        <v>-181.50000000000003</v>
      </c>
      <c r="L115" s="97">
        <f t="shared" si="68"/>
        <v>-199.65000000000003</v>
      </c>
      <c r="M115" s="97">
        <f t="shared" si="68"/>
        <v>-217.61850000000004</v>
      </c>
      <c r="N115" s="97">
        <f t="shared" si="68"/>
        <v>-237.20416500000007</v>
      </c>
      <c r="O115" s="97">
        <f t="shared" si="68"/>
        <v>-256.1804982000001</v>
      </c>
      <c r="P115" s="97">
        <f t="shared" si="68"/>
        <v>-276.67493805600014</v>
      </c>
      <c r="Q115" s="97">
        <f t="shared" si="68"/>
        <v>-296.04218371992016</v>
      </c>
      <c r="R115" s="97">
        <f t="shared" si="68"/>
        <v>-316.76513658031462</v>
      </c>
      <c r="S115" s="97">
        <f t="shared" si="68"/>
        <v>-335.77104477513353</v>
      </c>
    </row>
    <row r="116" spans="3:19" outlineLevel="1" x14ac:dyDescent="0.25">
      <c r="C116" s="6" t="s">
        <v>83</v>
      </c>
      <c r="F116" s="21" t="s">
        <v>33</v>
      </c>
      <c r="G116" s="99">
        <v>-4</v>
      </c>
      <c r="H116" s="99">
        <v>-4</v>
      </c>
      <c r="I116" s="99">
        <v>-3</v>
      </c>
      <c r="J116" s="105">
        <f>AVERAGE(G116:I116)</f>
        <v>-3.6666666666666665</v>
      </c>
      <c r="K116" s="105">
        <f>J116</f>
        <v>-3.6666666666666665</v>
      </c>
      <c r="L116" s="105">
        <f t="shared" si="67"/>
        <v>-3.6666666666666665</v>
      </c>
      <c r="M116" s="105">
        <f t="shared" si="67"/>
        <v>-3.6666666666666665</v>
      </c>
      <c r="N116" s="105">
        <f t="shared" si="67"/>
        <v>-3.6666666666666665</v>
      </c>
      <c r="O116" s="105">
        <f t="shared" si="67"/>
        <v>-3.6666666666666665</v>
      </c>
      <c r="P116" s="105">
        <f t="shared" si="67"/>
        <v>-3.6666666666666665</v>
      </c>
      <c r="Q116" s="105">
        <f t="shared" si="67"/>
        <v>-3.6666666666666665</v>
      </c>
      <c r="R116" s="105">
        <f t="shared" si="67"/>
        <v>-3.6666666666666665</v>
      </c>
      <c r="S116" s="105">
        <f t="shared" si="67"/>
        <v>-3.6666666666666665</v>
      </c>
    </row>
    <row r="117" spans="3:19" outlineLevel="1" x14ac:dyDescent="0.25">
      <c r="C117" s="6" t="s">
        <v>84</v>
      </c>
      <c r="F117" s="21" t="s">
        <v>33</v>
      </c>
      <c r="G117" s="99">
        <v>139</v>
      </c>
      <c r="H117" s="99">
        <v>138</v>
      </c>
      <c r="I117" s="99">
        <v>198</v>
      </c>
      <c r="J117" s="103">
        <f>J98*J75</f>
        <v>203.6251322751323</v>
      </c>
      <c r="K117" s="103">
        <f>K98*K75</f>
        <v>223.98764550264556</v>
      </c>
      <c r="L117" s="103">
        <f>L98*L75</f>
        <v>246.38641005291012</v>
      </c>
      <c r="M117" s="103">
        <f>M98*M75</f>
        <v>268.56118695767202</v>
      </c>
      <c r="N117" s="103">
        <f>N98*N75</f>
        <v>292.73169378386257</v>
      </c>
      <c r="O117" s="103">
        <f>O98*O75</f>
        <v>316.15022928657157</v>
      </c>
      <c r="P117" s="103">
        <f>P98*P75</f>
        <v>341.44224762949733</v>
      </c>
      <c r="Q117" s="103">
        <f>Q98*Q75</f>
        <v>365.34320496356219</v>
      </c>
      <c r="R117" s="103">
        <f>R98*R75</f>
        <v>390.91722931101157</v>
      </c>
      <c r="S117" s="103">
        <f>S98*S75</f>
        <v>414.37226306967233</v>
      </c>
    </row>
    <row r="118" spans="3:19" outlineLevel="1" x14ac:dyDescent="0.25">
      <c r="C118" s="6" t="s">
        <v>85</v>
      </c>
      <c r="F118" s="21" t="s">
        <v>33</v>
      </c>
      <c r="G118" s="99">
        <v>-113</v>
      </c>
      <c r="H118" s="99">
        <v>-103</v>
      </c>
      <c r="I118" s="99">
        <v>-125</v>
      </c>
      <c r="J118" s="103">
        <f>J96*J77</f>
        <v>-175.96008700469241</v>
      </c>
      <c r="K118" s="103">
        <f>K96*K77</f>
        <v>-220.17644502014409</v>
      </c>
      <c r="L118" s="103">
        <f>L96*L77</f>
        <v>-237.11309463707829</v>
      </c>
      <c r="M118" s="103">
        <f>M96*M77</f>
        <v>-237.11309463707829</v>
      </c>
      <c r="N118" s="103">
        <f>N96*N77</f>
        <v>-220.17644502014409</v>
      </c>
      <c r="O118" s="103">
        <f>O96*O77</f>
        <v>-203.23979540320991</v>
      </c>
      <c r="P118" s="103">
        <f>P96*P77</f>
        <v>-203.23979540320991</v>
      </c>
      <c r="Q118" s="103">
        <f>Q96*Q77</f>
        <v>-186.30314578627576</v>
      </c>
      <c r="R118" s="103">
        <f>R96*R77</f>
        <v>-186.30314578627576</v>
      </c>
      <c r="S118" s="103">
        <f>S96*S77</f>
        <v>-169.36649616934162</v>
      </c>
    </row>
    <row r="119" spans="3:19" outlineLevel="1" x14ac:dyDescent="0.25">
      <c r="C119" s="6" t="s">
        <v>86</v>
      </c>
      <c r="F119" s="21" t="s">
        <v>33</v>
      </c>
      <c r="G119" s="99">
        <v>-3</v>
      </c>
      <c r="H119" s="99">
        <v>-3</v>
      </c>
      <c r="I119" s="99">
        <v>-24</v>
      </c>
      <c r="J119" s="103">
        <f>J102*J78</f>
        <v>-36.13129839977794</v>
      </c>
      <c r="K119" s="103">
        <f>K102*K78</f>
        <v>-46.914906467366968</v>
      </c>
      <c r="L119" s="103">
        <f>L102*L78</f>
        <v>-67.212637816887081</v>
      </c>
      <c r="M119" s="103">
        <f>M102*M78</f>
        <v>-84.346812401892521</v>
      </c>
      <c r="N119" s="103">
        <f>N102*N78</f>
        <v>-94.644772820149228</v>
      </c>
      <c r="O119" s="103">
        <f>O102*O78</f>
        <v>-105.1098212596345</v>
      </c>
      <c r="P119" s="103">
        <f>P102*P78</f>
        <v>-112.7523302430756</v>
      </c>
      <c r="Q119" s="103">
        <f>Q102*Q78</f>
        <v>-124.92133832357055</v>
      </c>
      <c r="R119" s="103">
        <f>R102*R78</f>
        <v>-135.21874452521263</v>
      </c>
      <c r="S119" s="103">
        <f>S102*S78</f>
        <v>-148.9098992115145</v>
      </c>
    </row>
    <row r="120" spans="3:19" outlineLevel="1" x14ac:dyDescent="0.25">
      <c r="C120" s="6" t="s">
        <v>87</v>
      </c>
      <c r="F120" s="41" t="s">
        <v>33</v>
      </c>
      <c r="G120" s="99">
        <v>-22</v>
      </c>
      <c r="H120" s="99">
        <v>-34</v>
      </c>
      <c r="I120" s="99">
        <v>-22</v>
      </c>
      <c r="J120" s="97">
        <f t="shared" ref="J120:S120" si="69">-J47</f>
        <v>-34.760000000000005</v>
      </c>
      <c r="K120" s="97">
        <f t="shared" si="69"/>
        <v>-40.050000000000004</v>
      </c>
      <c r="L120" s="97">
        <f t="shared" si="69"/>
        <v>-46.574999999999996</v>
      </c>
      <c r="M120" s="97">
        <f t="shared" si="69"/>
        <v>-51.347500000000004</v>
      </c>
      <c r="N120" s="97">
        <f t="shared" si="69"/>
        <v>-54.96</v>
      </c>
      <c r="O120" s="97">
        <f t="shared" si="69"/>
        <v>-58.677500000000009</v>
      </c>
      <c r="P120" s="97">
        <f t="shared" si="69"/>
        <v>-61.625000000000007</v>
      </c>
      <c r="Q120" s="97">
        <f t="shared" si="69"/>
        <v>-64.758648703968092</v>
      </c>
      <c r="R120" s="97">
        <f t="shared" si="69"/>
        <v>-68.103665852670503</v>
      </c>
      <c r="S120" s="97">
        <f t="shared" si="69"/>
        <v>-71.712868464048469</v>
      </c>
    </row>
    <row r="121" spans="3:19" outlineLevel="1" x14ac:dyDescent="0.25">
      <c r="C121" s="37" t="s">
        <v>77</v>
      </c>
      <c r="D121" s="38"/>
      <c r="E121" s="38"/>
      <c r="F121" s="21" t="s">
        <v>33</v>
      </c>
      <c r="G121" s="107">
        <f>SUM(G110:G120)</f>
        <v>566</v>
      </c>
      <c r="H121" s="107">
        <f>SUM(H110:H120)</f>
        <v>597</v>
      </c>
      <c r="I121" s="107">
        <f>SUM(I110:I120)</f>
        <v>647</v>
      </c>
      <c r="J121" s="107">
        <f>SUM(J110:J120)</f>
        <v>666.6002823334984</v>
      </c>
      <c r="K121" s="107">
        <f t="shared" ref="K121:S121" si="70">SUM(K110:K120)</f>
        <v>741.21238222024942</v>
      </c>
      <c r="L121" s="107">
        <f t="shared" si="70"/>
        <v>808.44777661490639</v>
      </c>
      <c r="M121" s="107">
        <f t="shared" si="70"/>
        <v>883.29102503866113</v>
      </c>
      <c r="N121" s="107">
        <f t="shared" si="70"/>
        <v>979.51920888527229</v>
      </c>
      <c r="O121" s="107">
        <f t="shared" si="70"/>
        <v>1065.0693019429054</v>
      </c>
      <c r="P121" s="107">
        <f t="shared" si="70"/>
        <v>1140.2416061178033</v>
      </c>
      <c r="Q121" s="107">
        <f t="shared" si="70"/>
        <v>1239.6316601594849</v>
      </c>
      <c r="R121" s="107">
        <f t="shared" si="70"/>
        <v>1337.1007625162656</v>
      </c>
      <c r="S121" s="107">
        <f t="shared" si="70"/>
        <v>1450.0640867803479</v>
      </c>
    </row>
    <row r="122" spans="3:19" outlineLevel="1" x14ac:dyDescent="0.25"/>
    <row r="123" spans="3:19" outlineLevel="1" x14ac:dyDescent="0.25">
      <c r="C123" s="2" t="s">
        <v>47</v>
      </c>
      <c r="F123" s="21" t="s">
        <v>33</v>
      </c>
      <c r="G123" s="112">
        <v>0</v>
      </c>
      <c r="H123" s="98">
        <f>58+501</f>
        <v>559</v>
      </c>
      <c r="I123" s="112">
        <v>244</v>
      </c>
      <c r="J123" s="98">
        <f>J124*J121</f>
        <v>253.30810728672938</v>
      </c>
      <c r="K123" s="98">
        <f t="shared" ref="K123:S123" si="71">K124*K121</f>
        <v>296.48495288809977</v>
      </c>
      <c r="L123" s="98">
        <f t="shared" si="71"/>
        <v>339.54806617826068</v>
      </c>
      <c r="M123" s="98">
        <f t="shared" si="71"/>
        <v>379.81514076662427</v>
      </c>
      <c r="N123" s="98">
        <f t="shared" si="71"/>
        <v>430.98845190951982</v>
      </c>
      <c r="O123" s="98">
        <f t="shared" si="71"/>
        <v>479.28118587430748</v>
      </c>
      <c r="P123" s="98">
        <f t="shared" si="71"/>
        <v>513.10872275301153</v>
      </c>
      <c r="Q123" s="98">
        <f t="shared" si="71"/>
        <v>557.83424707176823</v>
      </c>
      <c r="R123" s="98">
        <f t="shared" si="71"/>
        <v>601.69534313231952</v>
      </c>
      <c r="S123" s="98">
        <f t="shared" si="71"/>
        <v>652.52883905115652</v>
      </c>
    </row>
    <row r="124" spans="3:19" outlineLevel="1" x14ac:dyDescent="0.25">
      <c r="C124" s="6" t="s">
        <v>89</v>
      </c>
      <c r="F124" s="21" t="s">
        <v>8</v>
      </c>
      <c r="G124" s="44">
        <f>G123/G121</f>
        <v>0</v>
      </c>
      <c r="H124" s="44">
        <f t="shared" ref="H124:I124" si="72">H123/H121</f>
        <v>0.93634840871021774</v>
      </c>
      <c r="I124" s="44">
        <f t="shared" si="72"/>
        <v>0.37712519319938176</v>
      </c>
      <c r="J124" s="43">
        <v>0.38</v>
      </c>
      <c r="K124" s="43">
        <v>0.4</v>
      </c>
      <c r="L124" s="43">
        <v>0.42</v>
      </c>
      <c r="M124" s="43">
        <v>0.43</v>
      </c>
      <c r="N124" s="43">
        <v>0.44</v>
      </c>
      <c r="O124" s="43">
        <v>0.45</v>
      </c>
      <c r="P124" s="43">
        <v>0.45</v>
      </c>
      <c r="Q124" s="43">
        <v>0.45</v>
      </c>
      <c r="R124" s="43">
        <v>0.45</v>
      </c>
      <c r="S124" s="43">
        <v>0.45</v>
      </c>
    </row>
    <row r="125" spans="3:19" outlineLevel="1" x14ac:dyDescent="0.25">
      <c r="C125" s="6" t="s">
        <v>113</v>
      </c>
      <c r="F125" s="21" t="s">
        <v>8</v>
      </c>
      <c r="G125" s="44"/>
      <c r="H125" s="44"/>
      <c r="I125" s="44">
        <f>I123/H123-1</f>
        <v>-0.56350626118067981</v>
      </c>
      <c r="J125" s="44">
        <f t="shared" ref="J125:S125" si="73">J123/I123-1</f>
        <v>3.8147980683317151E-2</v>
      </c>
      <c r="K125" s="44">
        <f t="shared" si="73"/>
        <v>0.17045188985008219</v>
      </c>
      <c r="L125" s="44">
        <f t="shared" si="73"/>
        <v>0.14524552720358086</v>
      </c>
      <c r="M125" s="44">
        <f t="shared" si="73"/>
        <v>0.1185902044490621</v>
      </c>
      <c r="N125" s="44">
        <f t="shared" si="73"/>
        <v>0.13473215164515717</v>
      </c>
      <c r="O125" s="44">
        <f t="shared" si="73"/>
        <v>0.11205110891213876</v>
      </c>
      <c r="P125" s="44">
        <f t="shared" si="73"/>
        <v>7.0579730387279271E-2</v>
      </c>
      <c r="Q125" s="44">
        <f t="shared" si="73"/>
        <v>8.716578443412204E-2</v>
      </c>
      <c r="R125" s="44">
        <f t="shared" si="73"/>
        <v>7.862747095717193E-2</v>
      </c>
      <c r="S125" s="44">
        <f t="shared" si="73"/>
        <v>8.4483778209428761E-2</v>
      </c>
    </row>
    <row r="126" spans="3:19" outlineLevel="1" x14ac:dyDescent="0.25">
      <c r="C126" s="6" t="s">
        <v>118</v>
      </c>
      <c r="F126" s="21" t="s">
        <v>116</v>
      </c>
      <c r="G126" s="26" t="str">
        <f>IFERROR(G121/G123,"N/A")</f>
        <v>N/A</v>
      </c>
      <c r="H126" s="26">
        <f t="shared" ref="H126:S126" si="74">IFERROR(H121/H123,"N/A")</f>
        <v>1.0679785330948122</v>
      </c>
      <c r="I126" s="26">
        <f t="shared" si="74"/>
        <v>2.651639344262295</v>
      </c>
      <c r="J126" s="26">
        <f t="shared" si="74"/>
        <v>2.6315789473684212</v>
      </c>
      <c r="K126" s="26">
        <f t="shared" si="74"/>
        <v>2.5</v>
      </c>
      <c r="L126" s="26">
        <f t="shared" si="74"/>
        <v>2.3809523809523809</v>
      </c>
      <c r="M126" s="26">
        <f t="shared" si="74"/>
        <v>2.3255813953488373</v>
      </c>
      <c r="N126" s="26">
        <f t="shared" si="74"/>
        <v>2.2727272727272725</v>
      </c>
      <c r="O126" s="26">
        <f t="shared" si="74"/>
        <v>2.2222222222222219</v>
      </c>
      <c r="P126" s="26">
        <f t="shared" si="74"/>
        <v>2.2222222222222219</v>
      </c>
      <c r="Q126" s="26">
        <f t="shared" si="74"/>
        <v>2.2222222222222223</v>
      </c>
      <c r="R126" s="26">
        <f t="shared" si="74"/>
        <v>2.2222222222222223</v>
      </c>
      <c r="S126" s="26">
        <f t="shared" si="74"/>
        <v>2.2222222222222223</v>
      </c>
    </row>
    <row r="127" spans="3:19" outlineLevel="1" x14ac:dyDescent="0.25">
      <c r="I127" s="40"/>
    </row>
    <row r="128" spans="3:19" outlineLevel="1" x14ac:dyDescent="0.25">
      <c r="C128" s="2" t="s">
        <v>28</v>
      </c>
      <c r="F128" s="21" t="s">
        <v>33</v>
      </c>
      <c r="G128" s="98">
        <f>G50</f>
        <v>496</v>
      </c>
      <c r="H128" s="98">
        <f>H50</f>
        <v>106</v>
      </c>
      <c r="I128" s="98">
        <f>I50</f>
        <v>316</v>
      </c>
      <c r="J128" s="98">
        <f>J50</f>
        <v>612.5</v>
      </c>
      <c r="K128" s="98">
        <f>K50</f>
        <v>400</v>
      </c>
      <c r="L128" s="98">
        <f>L50</f>
        <v>350</v>
      </c>
      <c r="M128" s="98">
        <f>M50</f>
        <v>350</v>
      </c>
      <c r="N128" s="98">
        <f>N50</f>
        <v>350</v>
      </c>
      <c r="O128" s="98">
        <f>O129*O121</f>
        <v>372.77425568001689</v>
      </c>
      <c r="P128" s="98">
        <f t="shared" ref="P128:S128" si="75">P129*P121</f>
        <v>399.08456214123112</v>
      </c>
      <c r="Q128" s="98">
        <f t="shared" si="75"/>
        <v>433.87108105581967</v>
      </c>
      <c r="R128" s="98">
        <f t="shared" si="75"/>
        <v>467.9852668806929</v>
      </c>
      <c r="S128" s="98">
        <f t="shared" si="75"/>
        <v>507.52243037312172</v>
      </c>
    </row>
    <row r="129" spans="2:31" outlineLevel="1" x14ac:dyDescent="0.25">
      <c r="C129" s="6" t="s">
        <v>89</v>
      </c>
      <c r="F129" s="21" t="s">
        <v>8</v>
      </c>
      <c r="G129" s="44">
        <f>G128/G121</f>
        <v>0.87632508833922262</v>
      </c>
      <c r="H129" s="44">
        <f t="shared" ref="H129:I129" si="76">H128/H121</f>
        <v>0.17755443886097153</v>
      </c>
      <c r="I129" s="44">
        <f t="shared" si="76"/>
        <v>0.48840803709428132</v>
      </c>
      <c r="J129" s="44">
        <f t="shared" ref="J129" si="77">J128/J121</f>
        <v>0.91884149501990131</v>
      </c>
      <c r="K129" s="44">
        <f t="shared" ref="K129" si="78">K128/K121</f>
        <v>0.53965639214205818</v>
      </c>
      <c r="L129" s="44">
        <f t="shared" ref="L129" si="79">L128/L121</f>
        <v>0.43292839701471275</v>
      </c>
      <c r="M129" s="44">
        <f t="shared" ref="M129" si="80">M128/M121</f>
        <v>0.39624539373609136</v>
      </c>
      <c r="N129" s="44">
        <f t="shared" ref="N129" si="81">N128/N121</f>
        <v>0.35731815856711219</v>
      </c>
      <c r="O129" s="43">
        <v>0.35</v>
      </c>
      <c r="P129" s="43">
        <v>0.35</v>
      </c>
      <c r="Q129" s="43">
        <v>0.35</v>
      </c>
      <c r="R129" s="43">
        <v>0.35</v>
      </c>
      <c r="S129" s="43">
        <v>0.35</v>
      </c>
    </row>
    <row r="130" spans="2:31" outlineLevel="1" x14ac:dyDescent="0.25">
      <c r="I130" s="40"/>
    </row>
    <row r="131" spans="2:31" outlineLevel="1" x14ac:dyDescent="0.25">
      <c r="C131" s="2" t="s">
        <v>91</v>
      </c>
      <c r="F131" s="21" t="s">
        <v>33</v>
      </c>
      <c r="G131" s="98">
        <f>G121-G123-G128</f>
        <v>70</v>
      </c>
      <c r="H131" s="98">
        <f t="shared" ref="H131:I131" si="82">H121-H123-H128</f>
        <v>-68</v>
      </c>
      <c r="I131" s="98">
        <f t="shared" si="82"/>
        <v>87</v>
      </c>
      <c r="J131" s="98">
        <f t="shared" ref="J131:N131" si="83">J121-J123-J128</f>
        <v>-199.20782495323101</v>
      </c>
      <c r="K131" s="98">
        <f t="shared" si="83"/>
        <v>44.727429332149654</v>
      </c>
      <c r="L131" s="98">
        <f t="shared" si="83"/>
        <v>118.89971043664571</v>
      </c>
      <c r="M131" s="98">
        <f t="shared" si="83"/>
        <v>153.47588427203686</v>
      </c>
      <c r="N131" s="98">
        <f t="shared" si="83"/>
        <v>198.53075697575241</v>
      </c>
      <c r="O131" s="98">
        <f t="shared" ref="O131:S131" si="84">O121-O123-O128</f>
        <v>213.01386038858101</v>
      </c>
      <c r="P131" s="98">
        <f t="shared" si="84"/>
        <v>228.04832122356061</v>
      </c>
      <c r="Q131" s="98">
        <f t="shared" si="84"/>
        <v>247.926332031897</v>
      </c>
      <c r="R131" s="98">
        <f t="shared" si="84"/>
        <v>267.42015250325318</v>
      </c>
      <c r="S131" s="98">
        <f t="shared" si="84"/>
        <v>290.01281735606966</v>
      </c>
    </row>
    <row r="132" spans="2:31" outlineLevel="1" x14ac:dyDescent="0.25">
      <c r="C132" s="47" t="s">
        <v>89</v>
      </c>
      <c r="F132" s="21" t="s">
        <v>8</v>
      </c>
      <c r="G132" s="48">
        <f>G131/G121</f>
        <v>0.12367491166077739</v>
      </c>
      <c r="H132" s="48">
        <f t="shared" ref="H132:I132" si="85">H131/H121</f>
        <v>-0.11390284757118928</v>
      </c>
      <c r="I132" s="48">
        <f t="shared" si="85"/>
        <v>0.13446676970633695</v>
      </c>
      <c r="J132" s="48">
        <f t="shared" ref="J132" si="86">J131/J121</f>
        <v>-0.29884149501990137</v>
      </c>
      <c r="K132" s="48">
        <f t="shared" ref="K132" si="87">K131/K121</f>
        <v>6.0343607857941871E-2</v>
      </c>
      <c r="L132" s="48">
        <f t="shared" ref="L132" si="88">L131/L121</f>
        <v>0.14707160298528724</v>
      </c>
      <c r="M132" s="48">
        <f t="shared" ref="M132" si="89">M131/M121</f>
        <v>0.17375460626390868</v>
      </c>
      <c r="N132" s="48">
        <f t="shared" ref="N132" si="90">N131/N121</f>
        <v>0.20268184143288775</v>
      </c>
      <c r="O132" s="48">
        <f t="shared" ref="O132" si="91">O131/O121</f>
        <v>0.19999999999999993</v>
      </c>
      <c r="P132" s="48">
        <f t="shared" ref="P132" si="92">P131/P121</f>
        <v>0.19999999999999996</v>
      </c>
      <c r="Q132" s="48">
        <f t="shared" ref="Q132" si="93">Q131/Q121</f>
        <v>0.2</v>
      </c>
      <c r="R132" s="48">
        <f t="shared" ref="R132" si="94">R131/R121</f>
        <v>0.20000000000000004</v>
      </c>
      <c r="S132" s="48">
        <f t="shared" ref="S132" si="95">S131/S121</f>
        <v>0.20000000000000007</v>
      </c>
    </row>
    <row r="133" spans="2:31" outlineLevel="1" x14ac:dyDescent="0.25"/>
    <row r="134" spans="2:31" outlineLevel="1" x14ac:dyDescent="0.25">
      <c r="C134" s="2" t="s">
        <v>94</v>
      </c>
      <c r="F134" s="21" t="s">
        <v>33</v>
      </c>
      <c r="G134" s="98">
        <f>-MIN(G131,0)</f>
        <v>0</v>
      </c>
      <c r="H134" s="98">
        <f t="shared" ref="H134:N134" si="96">-MIN(H131,0)</f>
        <v>68</v>
      </c>
      <c r="I134" s="98">
        <f t="shared" si="96"/>
        <v>0</v>
      </c>
      <c r="J134" s="98">
        <f t="shared" si="96"/>
        <v>199.20782495323101</v>
      </c>
      <c r="K134" s="98">
        <f t="shared" si="96"/>
        <v>0</v>
      </c>
      <c r="L134" s="98">
        <f t="shared" si="96"/>
        <v>0</v>
      </c>
      <c r="M134" s="98">
        <f t="shared" si="96"/>
        <v>0</v>
      </c>
      <c r="N134" s="98">
        <f t="shared" si="96"/>
        <v>0</v>
      </c>
      <c r="O134" s="98">
        <f t="shared" ref="O134:S134" si="97">-MIN(O131,0)</f>
        <v>0</v>
      </c>
      <c r="P134" s="98">
        <f t="shared" si="97"/>
        <v>0</v>
      </c>
      <c r="Q134" s="98">
        <f t="shared" si="97"/>
        <v>0</v>
      </c>
      <c r="R134" s="98">
        <f t="shared" si="97"/>
        <v>0</v>
      </c>
      <c r="S134" s="98">
        <f t="shared" si="97"/>
        <v>0</v>
      </c>
    </row>
    <row r="135" spans="2:31" outlineLevel="1" x14ac:dyDescent="0.25">
      <c r="C135" s="47" t="s">
        <v>89</v>
      </c>
      <c r="F135" s="21" t="s">
        <v>8</v>
      </c>
      <c r="G135" s="48">
        <f>G134/G121</f>
        <v>0</v>
      </c>
      <c r="H135" s="48">
        <f t="shared" ref="H135:N135" si="98">H134/H121</f>
        <v>0.11390284757118928</v>
      </c>
      <c r="I135" s="48">
        <f t="shared" si="98"/>
        <v>0</v>
      </c>
      <c r="J135" s="48">
        <f t="shared" si="98"/>
        <v>0.29884149501990137</v>
      </c>
      <c r="K135" s="48">
        <f t="shared" si="98"/>
        <v>0</v>
      </c>
      <c r="L135" s="48">
        <f t="shared" si="98"/>
        <v>0</v>
      </c>
      <c r="M135" s="48">
        <f t="shared" si="98"/>
        <v>0</v>
      </c>
      <c r="N135" s="48">
        <f t="shared" si="98"/>
        <v>0</v>
      </c>
      <c r="O135" s="48">
        <f t="shared" ref="O135" si="99">O134/O121</f>
        <v>0</v>
      </c>
      <c r="P135" s="48">
        <f t="shared" ref="P135" si="100">P134/P121</f>
        <v>0</v>
      </c>
      <c r="Q135" s="48">
        <f t="shared" ref="Q135" si="101">Q134/Q121</f>
        <v>0</v>
      </c>
      <c r="R135" s="48">
        <f t="shared" ref="R135" si="102">R134/R121</f>
        <v>0</v>
      </c>
      <c r="S135" s="48">
        <f t="shared" ref="S135" si="103">S134/S121</f>
        <v>0</v>
      </c>
    </row>
    <row r="136" spans="2:31" outlineLevel="1" x14ac:dyDescent="0.25"/>
    <row r="137" spans="2:31" outlineLevel="1" x14ac:dyDescent="0.25">
      <c r="C137" s="65" t="s">
        <v>21</v>
      </c>
      <c r="D137" s="65"/>
      <c r="E137" s="65"/>
      <c r="F137" s="66" t="s">
        <v>33</v>
      </c>
      <c r="G137" s="111">
        <f>G92+G113</f>
        <v>566</v>
      </c>
      <c r="H137" s="111">
        <f t="shared" ref="H137:S137" si="104">H92+H113</f>
        <v>569</v>
      </c>
      <c r="I137" s="111">
        <f t="shared" si="104"/>
        <v>648</v>
      </c>
      <c r="J137" s="111">
        <f t="shared" si="104"/>
        <v>717.30153546283645</v>
      </c>
      <c r="K137" s="111">
        <f t="shared" si="104"/>
        <v>831.23108820511493</v>
      </c>
      <c r="L137" s="111">
        <f t="shared" si="104"/>
        <v>917.733001842676</v>
      </c>
      <c r="M137" s="111">
        <f t="shared" si="104"/>
        <v>987.55215952920821</v>
      </c>
      <c r="N137" s="111">
        <f t="shared" si="104"/>
        <v>1052.3351271002741</v>
      </c>
      <c r="O137" s="111">
        <f t="shared" si="104"/>
        <v>1107.647175888681</v>
      </c>
      <c r="P137" s="111">
        <f t="shared" si="104"/>
        <v>1161.7270548924366</v>
      </c>
      <c r="Q137" s="111">
        <f t="shared" si="104"/>
        <v>1233.8291889440188</v>
      </c>
      <c r="R137" s="111">
        <f t="shared" si="104"/>
        <v>1313.1685320028973</v>
      </c>
      <c r="S137" s="111">
        <f t="shared" si="104"/>
        <v>1404.0202386123028</v>
      </c>
    </row>
    <row r="138" spans="2:31" outlineLevel="1" x14ac:dyDescent="0.25">
      <c r="C138" s="47" t="s">
        <v>36</v>
      </c>
      <c r="F138" s="21" t="s">
        <v>8</v>
      </c>
      <c r="G138" s="48"/>
      <c r="H138" s="48">
        <f>H137/G137-1</f>
        <v>5.300353356890497E-3</v>
      </c>
      <c r="I138" s="48">
        <f>I137/H137-1</f>
        <v>0.13884007029876977</v>
      </c>
      <c r="J138" s="48">
        <f t="shared" ref="J138:S138" si="105">J137/I137-1</f>
        <v>0.1069468139858587</v>
      </c>
      <c r="K138" s="48">
        <f t="shared" si="105"/>
        <v>0.15883076657401252</v>
      </c>
      <c r="L138" s="48">
        <f t="shared" si="105"/>
        <v>0.10406482007830764</v>
      </c>
      <c r="M138" s="48">
        <f t="shared" si="105"/>
        <v>7.6077854393756583E-2</v>
      </c>
      <c r="N138" s="48">
        <f t="shared" si="105"/>
        <v>6.5599540182211369E-2</v>
      </c>
      <c r="O138" s="48">
        <f t="shared" si="105"/>
        <v>5.2561249134408516E-2</v>
      </c>
      <c r="P138" s="48">
        <f t="shared" si="105"/>
        <v>4.8824102278206549E-2</v>
      </c>
      <c r="Q138" s="48">
        <f t="shared" si="105"/>
        <v>6.2064607816384232E-2</v>
      </c>
      <c r="R138" s="48">
        <f t="shared" si="105"/>
        <v>6.4303344230964177E-2</v>
      </c>
      <c r="S138" s="48">
        <f t="shared" si="105"/>
        <v>6.9185107924292666E-2</v>
      </c>
    </row>
    <row r="139" spans="2:31" x14ac:dyDescent="0.25">
      <c r="C139" s="47" t="s">
        <v>60</v>
      </c>
      <c r="F139" s="21" t="s">
        <v>8</v>
      </c>
      <c r="G139" s="48">
        <f t="shared" ref="G139:S139" si="106">G137/G85</f>
        <v>0.75066312997347484</v>
      </c>
      <c r="H139" s="48">
        <f t="shared" si="106"/>
        <v>0.67657550535077293</v>
      </c>
      <c r="I139" s="48">
        <f t="shared" si="106"/>
        <v>0.70434782608695656</v>
      </c>
      <c r="J139" s="48">
        <f t="shared" si="106"/>
        <v>0.67191415926650966</v>
      </c>
      <c r="K139" s="48">
        <f t="shared" si="106"/>
        <v>0.6626791999647702</v>
      </c>
      <c r="L139" s="48">
        <f t="shared" si="106"/>
        <v>0.66011939577959944</v>
      </c>
      <c r="M139" s="48">
        <f t="shared" si="106"/>
        <v>0.65802882976786303</v>
      </c>
      <c r="N139" s="48">
        <f t="shared" si="106"/>
        <v>0.65092610016760477</v>
      </c>
      <c r="O139" s="48">
        <f t="shared" si="106"/>
        <v>0.64452862682443735</v>
      </c>
      <c r="P139" s="48">
        <f t="shared" si="106"/>
        <v>0.63878571086432456</v>
      </c>
      <c r="Q139" s="48">
        <f t="shared" si="106"/>
        <v>0.63860065641695807</v>
      </c>
      <c r="R139" s="48">
        <f t="shared" si="106"/>
        <v>0.63870965897007126</v>
      </c>
      <c r="S139" s="48">
        <f t="shared" si="106"/>
        <v>0.63909289161145355</v>
      </c>
    </row>
    <row r="141" spans="2:31" x14ac:dyDescent="0.25">
      <c r="B141" s="35" t="s">
        <v>43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</row>
    <row r="142" spans="2:31" outlineLevel="1" x14ac:dyDescent="0.25"/>
    <row r="143" spans="2:31" outlineLevel="1" x14ac:dyDescent="0.25">
      <c r="C143" s="67"/>
      <c r="D143" s="68"/>
      <c r="E143" s="69" t="s">
        <v>48</v>
      </c>
      <c r="F143" s="70"/>
      <c r="G143" s="70"/>
      <c r="H143" s="70"/>
      <c r="I143" s="70"/>
      <c r="J143" s="70"/>
      <c r="K143" s="70"/>
      <c r="L143" s="70"/>
      <c r="M143" s="70"/>
      <c r="N143" s="70"/>
      <c r="O143" s="71"/>
    </row>
    <row r="144" spans="2:31" outlineLevel="1" x14ac:dyDescent="0.25">
      <c r="C144" s="72"/>
      <c r="D144" s="73">
        <f>$M$25</f>
        <v>73.894414291887372</v>
      </c>
      <c r="E144" s="74">
        <v>8.2500000000000004E-2</v>
      </c>
      <c r="F144" s="75">
        <f>E144+0.25%</f>
        <v>8.5000000000000006E-2</v>
      </c>
      <c r="G144" s="75">
        <f t="shared" ref="G144:O144" si="107">F144+0.25%</f>
        <v>8.7500000000000008E-2</v>
      </c>
      <c r="H144" s="75">
        <f t="shared" si="107"/>
        <v>9.0000000000000011E-2</v>
      </c>
      <c r="I144" s="75">
        <f t="shared" si="107"/>
        <v>9.2500000000000013E-2</v>
      </c>
      <c r="J144" s="76">
        <f t="shared" si="107"/>
        <v>9.5000000000000015E-2</v>
      </c>
      <c r="K144" s="75">
        <f t="shared" si="107"/>
        <v>9.7500000000000017E-2</v>
      </c>
      <c r="L144" s="75">
        <f t="shared" si="107"/>
        <v>0.10000000000000002</v>
      </c>
      <c r="M144" s="75">
        <f t="shared" si="107"/>
        <v>0.10250000000000002</v>
      </c>
      <c r="N144" s="75">
        <f t="shared" si="107"/>
        <v>0.10500000000000002</v>
      </c>
      <c r="O144" s="77">
        <f t="shared" si="107"/>
        <v>0.10750000000000003</v>
      </c>
      <c r="U144" s="91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</row>
    <row r="145" spans="3:31" outlineLevel="1" x14ac:dyDescent="0.25">
      <c r="C145" s="131" t="s">
        <v>57</v>
      </c>
      <c r="D145" s="78">
        <v>16</v>
      </c>
      <c r="E145" s="79">
        <f t="dataTable" ref="E145:O153" dt2D="1" dtr="1" r1="G20" r2="M13" ca="1"/>
        <v>97.502223586623387</v>
      </c>
      <c r="F145" s="79">
        <v>95.560651238395579</v>
      </c>
      <c r="G145" s="79">
        <v>93.665201825213245</v>
      </c>
      <c r="H145" s="79">
        <v>91.814653326910417</v>
      </c>
      <c r="I145" s="79">
        <v>90.007819089291743</v>
      </c>
      <c r="J145" s="80">
        <v>88.243546718319905</v>
      </c>
      <c r="K145" s="79">
        <v>86.520717011386949</v>
      </c>
      <c r="L145" s="79">
        <v>84.838242924340335</v>
      </c>
      <c r="M145" s="79">
        <v>83.195068572989712</v>
      </c>
      <c r="N145" s="79">
        <v>81.590168267864954</v>
      </c>
      <c r="O145" s="79">
        <v>80.022545581046927</v>
      </c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</row>
    <row r="146" spans="3:31" outlineLevel="1" x14ac:dyDescent="0.25">
      <c r="C146" s="132"/>
      <c r="D146" s="81">
        <f>D145-1</f>
        <v>15</v>
      </c>
      <c r="E146" s="82">
        <v>93.203558014178668</v>
      </c>
      <c r="F146" s="82">
        <v>91.360012553469076</v>
      </c>
      <c r="G146" s="82">
        <v>89.560136683351814</v>
      </c>
      <c r="H146" s="82">
        <v>87.802775213703725</v>
      </c>
      <c r="I146" s="82">
        <v>86.086806352664084</v>
      </c>
      <c r="J146" s="83">
        <v>84.411140663073937</v>
      </c>
      <c r="K146" s="82">
        <v>82.774720053893404</v>
      </c>
      <c r="L146" s="82">
        <v>81.176516805344477</v>
      </c>
      <c r="M146" s="82">
        <v>79.615532626577789</v>
      </c>
      <c r="N146" s="82">
        <v>78.090797744703949</v>
      </c>
      <c r="O146" s="82">
        <v>76.60137002407869</v>
      </c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</row>
    <row r="147" spans="3:31" outlineLevel="1" x14ac:dyDescent="0.25">
      <c r="C147" s="132"/>
      <c r="D147" s="81">
        <f t="shared" ref="D147:D153" si="108">D146-1</f>
        <v>14</v>
      </c>
      <c r="E147" s="82">
        <v>88.904892441733949</v>
      </c>
      <c r="F147" s="82">
        <v>87.159373868542517</v>
      </c>
      <c r="G147" s="82">
        <v>85.455071541490398</v>
      </c>
      <c r="H147" s="82">
        <v>83.79089710049702</v>
      </c>
      <c r="I147" s="82">
        <v>82.165793616036424</v>
      </c>
      <c r="J147" s="83">
        <v>80.57873460782794</v>
      </c>
      <c r="K147" s="82">
        <v>79.028723096399858</v>
      </c>
      <c r="L147" s="82">
        <v>77.514790686348647</v>
      </c>
      <c r="M147" s="82">
        <v>76.035996680165866</v>
      </c>
      <c r="N147" s="82">
        <v>74.591427221542929</v>
      </c>
      <c r="O147" s="82">
        <v>73.180194467110482</v>
      </c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</row>
    <row r="148" spans="3:31" outlineLevel="1" x14ac:dyDescent="0.25">
      <c r="C148" s="132"/>
      <c r="D148" s="81">
        <f t="shared" si="108"/>
        <v>13</v>
      </c>
      <c r="E148" s="82">
        <v>84.60622686928923</v>
      </c>
      <c r="F148" s="82">
        <v>82.958735183616014</v>
      </c>
      <c r="G148" s="82">
        <v>81.350006399628995</v>
      </c>
      <c r="H148" s="82">
        <v>79.779018987290328</v>
      </c>
      <c r="I148" s="82">
        <v>78.244780879408779</v>
      </c>
      <c r="J148" s="83">
        <v>76.746328552581986</v>
      </c>
      <c r="K148" s="82">
        <v>75.282726138906312</v>
      </c>
      <c r="L148" s="82">
        <v>73.853064567352817</v>
      </c>
      <c r="M148" s="82">
        <v>72.456460733753957</v>
      </c>
      <c r="N148" s="82">
        <v>71.09205669838191</v>
      </c>
      <c r="O148" s="82">
        <v>69.759018910142245</v>
      </c>
      <c r="U148" s="91"/>
      <c r="V148" s="93"/>
      <c r="W148" s="92"/>
      <c r="X148" s="92"/>
      <c r="Y148" s="92"/>
      <c r="Z148" s="92"/>
      <c r="AA148" s="92"/>
      <c r="AB148" s="92"/>
      <c r="AC148" s="92"/>
      <c r="AD148" s="92"/>
      <c r="AE148" s="92"/>
    </row>
    <row r="149" spans="3:31" outlineLevel="1" x14ac:dyDescent="0.25">
      <c r="C149" s="132"/>
      <c r="D149" s="84">
        <f t="shared" si="108"/>
        <v>12</v>
      </c>
      <c r="E149" s="83">
        <v>80.307561296844511</v>
      </c>
      <c r="F149" s="83">
        <v>78.758096498689468</v>
      </c>
      <c r="G149" s="83">
        <v>77.244941257767579</v>
      </c>
      <c r="H149" s="83">
        <v>75.767140874083637</v>
      </c>
      <c r="I149" s="83">
        <v>74.32376814278112</v>
      </c>
      <c r="J149" s="83">
        <v>72.913922497336003</v>
      </c>
      <c r="K149" s="83">
        <v>71.536729181412738</v>
      </c>
      <c r="L149" s="83">
        <v>70.191338448356973</v>
      </c>
      <c r="M149" s="83">
        <v>68.876924787342048</v>
      </c>
      <c r="N149" s="83">
        <v>67.592686175220905</v>
      </c>
      <c r="O149" s="83">
        <v>66.337843353174009</v>
      </c>
      <c r="U149" s="91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</row>
    <row r="150" spans="3:31" outlineLevel="1" x14ac:dyDescent="0.25">
      <c r="C150" s="132"/>
      <c r="D150" s="81">
        <f t="shared" si="108"/>
        <v>11</v>
      </c>
      <c r="E150" s="82">
        <v>76.008895724399778</v>
      </c>
      <c r="F150" s="82">
        <v>74.557457813762952</v>
      </c>
      <c r="G150" s="82">
        <v>73.139876115906148</v>
      </c>
      <c r="H150" s="82">
        <v>71.755262760876931</v>
      </c>
      <c r="I150" s="82">
        <v>70.40275540615346</v>
      </c>
      <c r="J150" s="83">
        <v>69.08151644209002</v>
      </c>
      <c r="K150" s="82">
        <v>67.790732223919193</v>
      </c>
      <c r="L150" s="82">
        <v>66.529612329361129</v>
      </c>
      <c r="M150" s="82">
        <v>65.297388840930125</v>
      </c>
      <c r="N150" s="82">
        <v>64.0933156520599</v>
      </c>
      <c r="O150" s="82">
        <v>62.916667796205786</v>
      </c>
      <c r="U150" s="91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</row>
    <row r="151" spans="3:31" outlineLevel="1" x14ac:dyDescent="0.25">
      <c r="C151" s="132"/>
      <c r="D151" s="81">
        <f t="shared" si="108"/>
        <v>10</v>
      </c>
      <c r="E151" s="82">
        <v>71.710230151955045</v>
      </c>
      <c r="F151" s="82">
        <v>70.356819128836406</v>
      </c>
      <c r="G151" s="82">
        <v>69.034810974044731</v>
      </c>
      <c r="H151" s="82">
        <v>67.74338464767024</v>
      </c>
      <c r="I151" s="82">
        <v>66.481742669525786</v>
      </c>
      <c r="J151" s="83">
        <v>65.249110386844038</v>
      </c>
      <c r="K151" s="82">
        <v>64.044735266425647</v>
      </c>
      <c r="L151" s="82">
        <v>62.867886210365285</v>
      </c>
      <c r="M151" s="82">
        <v>61.717852894518195</v>
      </c>
      <c r="N151" s="82">
        <v>60.593945128898888</v>
      </c>
      <c r="O151" s="82">
        <v>59.495492239237549</v>
      </c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</row>
    <row r="152" spans="3:31" outlineLevel="1" x14ac:dyDescent="0.25">
      <c r="C152" s="132"/>
      <c r="D152" s="81">
        <f t="shared" si="108"/>
        <v>9</v>
      </c>
      <c r="E152" s="82">
        <v>67.411564579510326</v>
      </c>
      <c r="F152" s="82">
        <v>66.156180443909889</v>
      </c>
      <c r="G152" s="82">
        <v>64.929745832183315</v>
      </c>
      <c r="H152" s="82">
        <v>63.731506534463534</v>
      </c>
      <c r="I152" s="82">
        <v>62.560729932898134</v>
      </c>
      <c r="J152" s="83">
        <v>61.416704331598062</v>
      </c>
      <c r="K152" s="82">
        <v>60.298738308932101</v>
      </c>
      <c r="L152" s="82">
        <v>59.206160091369441</v>
      </c>
      <c r="M152" s="82">
        <v>58.138316948106286</v>
      </c>
      <c r="N152" s="82">
        <v>57.094574605737876</v>
      </c>
      <c r="O152" s="82">
        <v>56.074316682269327</v>
      </c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</row>
    <row r="153" spans="3:31" outlineLevel="1" x14ac:dyDescent="0.25">
      <c r="C153" s="133"/>
      <c r="D153" s="85">
        <f t="shared" si="108"/>
        <v>8</v>
      </c>
      <c r="E153" s="82">
        <v>63.112899007065614</v>
      </c>
      <c r="F153" s="82">
        <v>61.955541758983365</v>
      </c>
      <c r="G153" s="82">
        <v>60.824680690321898</v>
      </c>
      <c r="H153" s="82">
        <v>59.719628421256836</v>
      </c>
      <c r="I153" s="82">
        <v>58.639717196270482</v>
      </c>
      <c r="J153" s="83">
        <v>57.584298276352087</v>
      </c>
      <c r="K153" s="82">
        <v>56.552741351438549</v>
      </c>
      <c r="L153" s="82">
        <v>55.544433972373596</v>
      </c>
      <c r="M153" s="82">
        <v>54.558781001694371</v>
      </c>
      <c r="N153" s="82">
        <v>53.595204082576863</v>
      </c>
      <c r="O153" s="82">
        <v>52.653141125301097</v>
      </c>
      <c r="U153" s="91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</row>
    <row r="154" spans="3:31" outlineLevel="1" x14ac:dyDescent="0.25"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</row>
    <row r="155" spans="3:31" outlineLevel="1" x14ac:dyDescent="0.25">
      <c r="C155" s="67"/>
      <c r="D155" s="68"/>
      <c r="E155" s="69" t="str">
        <f>E143</f>
        <v>Discount Rate (Cost of Equity):</v>
      </c>
      <c r="F155" s="70"/>
      <c r="G155" s="70"/>
      <c r="H155" s="70"/>
      <c r="I155" s="70"/>
      <c r="J155" s="70"/>
      <c r="K155" s="70"/>
      <c r="L155" s="70"/>
      <c r="M155" s="70"/>
      <c r="N155" s="70"/>
      <c r="O155" s="71"/>
    </row>
    <row r="156" spans="3:31" outlineLevel="1" x14ac:dyDescent="0.25">
      <c r="C156" s="72"/>
      <c r="D156" s="73">
        <f>$R$25</f>
        <v>73.894414291887372</v>
      </c>
      <c r="E156" s="75">
        <f>E144</f>
        <v>8.2500000000000004E-2</v>
      </c>
      <c r="F156" s="75">
        <f>F144</f>
        <v>8.5000000000000006E-2</v>
      </c>
      <c r="G156" s="75">
        <f>G144</f>
        <v>8.7500000000000008E-2</v>
      </c>
      <c r="H156" s="75">
        <f>H144</f>
        <v>9.0000000000000011E-2</v>
      </c>
      <c r="I156" s="75">
        <f>I144</f>
        <v>9.2500000000000013E-2</v>
      </c>
      <c r="J156" s="76">
        <f>J144</f>
        <v>9.5000000000000015E-2</v>
      </c>
      <c r="K156" s="75">
        <f>K144</f>
        <v>9.7500000000000017E-2</v>
      </c>
      <c r="L156" s="75">
        <f>L144</f>
        <v>0.10000000000000002</v>
      </c>
      <c r="M156" s="75">
        <f>M144</f>
        <v>0.10250000000000002</v>
      </c>
      <c r="N156" s="75">
        <f>N144</f>
        <v>0.10500000000000002</v>
      </c>
      <c r="O156" s="77">
        <f>O144</f>
        <v>0.10750000000000003</v>
      </c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</row>
    <row r="157" spans="3:31" outlineLevel="1" x14ac:dyDescent="0.25">
      <c r="C157" s="131" t="s">
        <v>55</v>
      </c>
      <c r="D157" s="86">
        <v>0.03</v>
      </c>
      <c r="E157" s="79">
        <f t="dataTable" ref="E157:O165" dt2D="1" dtr="1" r1="G20" r2="R13" ca="1"/>
        <v>113.05929899166142</v>
      </c>
      <c r="F157" s="79">
        <v>107.0169385609225</v>
      </c>
      <c r="G157" s="79">
        <v>101.51836992268727</v>
      </c>
      <c r="H157" s="79">
        <v>96.495177792318216</v>
      </c>
      <c r="I157" s="79">
        <v>91.88990520287301</v>
      </c>
      <c r="J157" s="80">
        <v>87.653945786743591</v>
      </c>
      <c r="K157" s="79">
        <v>83.745904450280605</v>
      </c>
      <c r="L157" s="79">
        <v>80.130309342774225</v>
      </c>
      <c r="M157" s="79">
        <v>76.776590324251089</v>
      </c>
      <c r="N157" s="79">
        <v>73.658261748699971</v>
      </c>
      <c r="O157" s="79">
        <v>70.752263426681395</v>
      </c>
    </row>
    <row r="158" spans="3:31" outlineLevel="1" x14ac:dyDescent="0.25">
      <c r="C158" s="136"/>
      <c r="D158" s="87">
        <f>D157-(2/3)*1%</f>
        <v>2.3333333333333331E-2</v>
      </c>
      <c r="E158" s="82">
        <v>103.07232545514331</v>
      </c>
      <c r="F158" s="82">
        <v>98.058328294297851</v>
      </c>
      <c r="G158" s="82">
        <v>93.45195168797369</v>
      </c>
      <c r="H158" s="82">
        <v>89.20693255332607</v>
      </c>
      <c r="I158" s="82">
        <v>85.283707358415043</v>
      </c>
      <c r="J158" s="83">
        <v>81.648243274408216</v>
      </c>
      <c r="K158" s="82">
        <v>78.271105734210138</v>
      </c>
      <c r="L158" s="82">
        <v>75.126708434829609</v>
      </c>
      <c r="M158" s="82">
        <v>72.192705453492025</v>
      </c>
      <c r="N158" s="82">
        <v>69.44949502424511</v>
      </c>
      <c r="O158" s="82">
        <v>66.879811758238276</v>
      </c>
    </row>
    <row r="159" spans="3:31" outlineLevel="1" x14ac:dyDescent="0.25">
      <c r="C159" s="136"/>
      <c r="D159" s="87">
        <f t="shared" ref="D159:D165" si="109">D158-(2/3)*1%</f>
        <v>1.6666666666666663E-2</v>
      </c>
      <c r="E159" s="82">
        <v>95.108030103236445</v>
      </c>
      <c r="F159" s="82">
        <v>90.847739543112155</v>
      </c>
      <c r="G159" s="82">
        <v>86.903918062147369</v>
      </c>
      <c r="H159" s="82">
        <v>83.243822812332468</v>
      </c>
      <c r="I159" s="82">
        <v>79.839038805290329</v>
      </c>
      <c r="J159" s="83">
        <v>76.664787998215033</v>
      </c>
      <c r="K159" s="82">
        <v>73.699366600171913</v>
      </c>
      <c r="L159" s="82">
        <v>70.92368367215613</v>
      </c>
      <c r="M159" s="82">
        <v>68.320880368481923</v>
      </c>
      <c r="N159" s="82">
        <v>65.876013843104175</v>
      </c>
      <c r="O159" s="82">
        <v>63.575793362227181</v>
      </c>
    </row>
    <row r="160" spans="3:31" outlineLevel="1" x14ac:dyDescent="0.25">
      <c r="C160" s="136"/>
      <c r="D160" s="87">
        <f t="shared" si="109"/>
        <v>9.9999999999999967E-3</v>
      </c>
      <c r="E160" s="83">
        <v>88.608432747082588</v>
      </c>
      <c r="F160" s="83">
        <v>84.919033236581697</v>
      </c>
      <c r="G160" s="83">
        <v>81.482427855818059</v>
      </c>
      <c r="H160" s="83">
        <v>78.274564694837807</v>
      </c>
      <c r="I160" s="83">
        <v>75.274316684993863</v>
      </c>
      <c r="J160" s="83">
        <v>72.463051196718823</v>
      </c>
      <c r="K160" s="83">
        <v>69.824273429415697</v>
      </c>
      <c r="L160" s="83">
        <v>67.343329244693521</v>
      </c>
      <c r="M160" s="83">
        <v>65.00715619662644</v>
      </c>
      <c r="N160" s="83">
        <v>62.804073880368989</v>
      </c>
      <c r="O160" s="83">
        <v>60.72360654173896</v>
      </c>
    </row>
    <row r="161" spans="3:30" outlineLevel="1" x14ac:dyDescent="0.25">
      <c r="C161" s="136"/>
      <c r="D161" s="87">
        <f t="shared" si="109"/>
        <v>3.3333333333333305E-3</v>
      </c>
      <c r="E161" s="82">
        <v>83.203504419333584</v>
      </c>
      <c r="F161" s="82">
        <v>79.958278980097049</v>
      </c>
      <c r="G161" s="82">
        <v>76.919787583164691</v>
      </c>
      <c r="H161" s="82">
        <v>74.069807826188494</v>
      </c>
      <c r="I161" s="82">
        <v>71.392169835022102</v>
      </c>
      <c r="J161" s="83">
        <v>68.872476111803863</v>
      </c>
      <c r="K161" s="82">
        <v>66.497866017350617</v>
      </c>
      <c r="L161" s="82">
        <v>64.256816807225761</v>
      </c>
      <c r="M161" s="82">
        <v>62.138974770566655</v>
      </c>
      <c r="N161" s="82">
        <v>60.135011289795791</v>
      </c>
      <c r="O161" s="82">
        <v>58.236499634273244</v>
      </c>
    </row>
    <row r="162" spans="3:30" outlineLevel="1" x14ac:dyDescent="0.25">
      <c r="C162" s="136"/>
      <c r="D162" s="87">
        <f t="shared" si="109"/>
        <v>-3.3333333333333357E-3</v>
      </c>
      <c r="E162" s="82">
        <v>78.638176608516446</v>
      </c>
      <c r="F162" s="82">
        <v>75.746317818930834</v>
      </c>
      <c r="G162" s="82">
        <v>73.026892671634741</v>
      </c>
      <c r="H162" s="82">
        <v>70.465730510203343</v>
      </c>
      <c r="I162" s="82">
        <v>68.050147764176842</v>
      </c>
      <c r="J162" s="83">
        <v>65.76875866552146</v>
      </c>
      <c r="K162" s="82">
        <v>63.611314130847866</v>
      </c>
      <c r="L162" s="82">
        <v>61.568564039108693</v>
      </c>
      <c r="M162" s="82">
        <v>59.632139035978973</v>
      </c>
      <c r="N162" s="82">
        <v>57.794448710370062</v>
      </c>
      <c r="O162" s="82">
        <v>56.048593557780841</v>
      </c>
    </row>
    <row r="163" spans="3:30" outlineLevel="1" x14ac:dyDescent="0.25">
      <c r="C163" s="136"/>
      <c r="D163" s="87">
        <f t="shared" si="109"/>
        <v>-1.0000000000000002E-2</v>
      </c>
      <c r="E163" s="82">
        <v>74.730914067727028</v>
      </c>
      <c r="F163" s="82">
        <v>72.125509101437061</v>
      </c>
      <c r="G163" s="82">
        <v>69.666359457408021</v>
      </c>
      <c r="H163" s="82">
        <v>67.342196836349558</v>
      </c>
      <c r="I163" s="82">
        <v>65.142860271652921</v>
      </c>
      <c r="J163" s="83">
        <v>63.05916406956063</v>
      </c>
      <c r="K163" s="82">
        <v>61.082784183756324</v>
      </c>
      <c r="L163" s="82">
        <v>59.206160091369441</v>
      </c>
      <c r="M163" s="82">
        <v>57.422409758823903</v>
      </c>
      <c r="N163" s="82">
        <v>55.725255705370522</v>
      </c>
      <c r="O163" s="82">
        <v>54.108960511245016</v>
      </c>
    </row>
    <row r="164" spans="3:30" outlineLevel="1" x14ac:dyDescent="0.25">
      <c r="C164" s="136"/>
      <c r="D164" s="87">
        <f t="shared" si="109"/>
        <v>-1.666666666666667E-2</v>
      </c>
      <c r="E164" s="82">
        <v>71.348997750909263</v>
      </c>
      <c r="F164" s="82">
        <v>68.979560543614596</v>
      </c>
      <c r="G164" s="82">
        <v>66.735974494602317</v>
      </c>
      <c r="H164" s="82">
        <v>64.609104871727496</v>
      </c>
      <c r="I164" s="82">
        <v>62.590661327834212</v>
      </c>
      <c r="J164" s="83">
        <v>60.67310315669959</v>
      </c>
      <c r="K164" s="82">
        <v>58.8495570042083</v>
      </c>
      <c r="L164" s="82">
        <v>57.113745166228959</v>
      </c>
      <c r="M164" s="82">
        <v>55.459922918273577</v>
      </c>
      <c r="N164" s="82">
        <v>53.882823577631179</v>
      </c>
      <c r="O164" s="82">
        <v>52.377610207961361</v>
      </c>
      <c r="W164" s="92"/>
      <c r="X164" s="92"/>
      <c r="Y164" s="92"/>
      <c r="Z164" s="92"/>
      <c r="AA164" s="92"/>
      <c r="AB164" s="92"/>
      <c r="AC164" s="92"/>
      <c r="AD164" s="92"/>
    </row>
    <row r="165" spans="3:30" outlineLevel="1" x14ac:dyDescent="0.25">
      <c r="C165" s="137"/>
      <c r="D165" s="88">
        <f t="shared" si="109"/>
        <v>-2.3333333333333338E-2</v>
      </c>
      <c r="E165" s="82">
        <v>68.393149631485898</v>
      </c>
      <c r="F165" s="82">
        <v>66.220805654447219</v>
      </c>
      <c r="G165" s="82">
        <v>64.158117046119131</v>
      </c>
      <c r="H165" s="82">
        <v>62.197553138237446</v>
      </c>
      <c r="I165" s="82">
        <v>60.332240679706871</v>
      </c>
      <c r="J165" s="83">
        <v>58.555894177682056</v>
      </c>
      <c r="K165" s="82">
        <v>56.862754892748356</v>
      </c>
      <c r="L165" s="82">
        <v>55.247537260022582</v>
      </c>
      <c r="M165" s="82">
        <v>53.705381703212055</v>
      </c>
      <c r="N165" s="82">
        <v>52.231812969656978</v>
      </c>
      <c r="O165" s="82">
        <v>50.822703247687514</v>
      </c>
    </row>
    <row r="166" spans="3:30" outlineLevel="1" x14ac:dyDescent="0.2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</sheetData>
  <mergeCells count="2">
    <mergeCell ref="C145:C153"/>
    <mergeCell ref="C157:C165"/>
  </mergeCells>
  <dataValidations disablePrompts="1" count="1">
    <dataValidation type="whole" showInputMessage="1" showErrorMessage="1" sqref="G6 G83" xr:uid="{00000000-0002-0000-0000-000000000000}">
      <formula1>0</formula1>
      <formula2>1</formula2>
    </dataValidation>
  </dataValidations>
  <pageMargins left="0.75" right="0.75" top="1" bottom="1" header="0.5" footer="0.5"/>
  <pageSetup scale="38" orientation="portrait" horizontalDpi="200" verticalDpi="200" r:id="rId1"/>
  <headerFooter alignWithMargins="0"/>
  <rowBreaks count="3" manualBreakCount="3">
    <brk id="27" max="19" man="1"/>
    <brk id="81" max="19" man="1"/>
    <brk id="140" max="19" man="1"/>
  </rowBreaks>
  <ignoredErrors>
    <ignoredError sqref="J115:S115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F783B9-BA0F-4C17-9A37-B49E95E6309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DTM_DDM</vt:lpstr>
      <vt:lpstr>Company_Name</vt:lpstr>
      <vt:lpstr>Diluted_Shares</vt:lpstr>
      <vt:lpstr>Discount_Rate</vt:lpstr>
      <vt:lpstr>Hist_Year</vt:lpstr>
      <vt:lpstr>DTM_DDM!Print_Area</vt:lpstr>
      <vt:lpstr>Share_Price</vt:lpstr>
      <vt:lpstr>Tax_Rate</vt:lpstr>
      <vt:lpstr>Ticker</vt:lpstr>
      <vt:lpstr>Units</vt:lpstr>
      <vt:lpstr>Val_Date</vt:lpstr>
    </vt:vector>
  </TitlesOfParts>
  <Company>LENOVO 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BIWS</cp:lastModifiedBy>
  <cp:lastPrinted>2021-08-05T17:06:17Z</cp:lastPrinted>
  <dcterms:created xsi:type="dcterms:W3CDTF">2009-06-26T05:31:17Z</dcterms:created>
  <dcterms:modified xsi:type="dcterms:W3CDTF">2023-05-01T23:06:33Z</dcterms:modified>
</cp:coreProperties>
</file>