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dech\BIWS Dropbox\Brian DeChesare\BIWS-All-Courses\100-Bonus-Case-Studies\107-Valuation-Discounted-Cash-Flow\107-33-Cost-of-Equity\"/>
    </mc:Choice>
  </mc:AlternateContent>
  <xr:revisionPtr revIDLastSave="0" documentId="13_ncr:1_{E81B49E2-6091-4AF1-AD8D-A1B9208424A4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Debt_Equity_Enterprise_Value" sheetId="1" r:id="rId1"/>
  </sheets>
  <definedNames>
    <definedName name="Discount_Rate">Debt_Equity_Enterprise_Value!$D$17</definedName>
    <definedName name="Equity_Risk_Premium">Debt_Equity_Enterprise_Value!$D$12</definedName>
    <definedName name="Num_Years">Debt_Equity_Enterprise_Value!$D$9</definedName>
    <definedName name="_xlnm.Print_Area" localSheetId="0">Debt_Equity_Enterprise_Value!$A$1:$S$77</definedName>
    <definedName name="Risk_Free_Rate">Debt_Equity_Enterprise_Value!$D$11</definedName>
    <definedName name="Tax_Rate">Debt_Equity_Enterprise_Value!$D$8</definedName>
    <definedName name="Terminal_Growth_Rate">Debt_Equity_Enterprise_Value!$N$10</definedName>
    <definedName name="Terminal_Multiple">Debt_Equity_Enterprise_Value!$I$10</definedName>
    <definedName name="Unlevered_Beta">Debt_Equity_Enterprise_Value!$D$14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" l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C44" i="1"/>
  <c r="C45" i="1" s="1"/>
  <c r="H43" i="1"/>
  <c r="I43" i="1" s="1"/>
  <c r="D43" i="1"/>
  <c r="E43" i="1" s="1"/>
  <c r="K43" i="1" l="1"/>
  <c r="L43" i="1" s="1"/>
  <c r="D44" i="1"/>
  <c r="D45" i="1"/>
  <c r="C46" i="1"/>
  <c r="E45" i="1" l="1"/>
  <c r="K45" i="1" s="1"/>
  <c r="L45" i="1" s="1"/>
  <c r="E44" i="1"/>
  <c r="K44" i="1" s="1"/>
  <c r="L44" i="1" s="1"/>
  <c r="C47" i="1"/>
  <c r="D46" i="1"/>
  <c r="E46" i="1" l="1"/>
  <c r="K46" i="1" s="1"/>
  <c r="L46" i="1" s="1"/>
  <c r="C48" i="1"/>
  <c r="D47" i="1"/>
  <c r="E47" i="1" l="1"/>
  <c r="K47" i="1" s="1"/>
  <c r="L47" i="1" s="1"/>
  <c r="D48" i="1"/>
  <c r="C49" i="1"/>
  <c r="E48" i="1" l="1"/>
  <c r="K48" i="1" s="1"/>
  <c r="L48" i="1" s="1"/>
  <c r="D49" i="1"/>
  <c r="C50" i="1"/>
  <c r="E49" i="1" l="1"/>
  <c r="K49" i="1" s="1"/>
  <c r="L49" i="1" s="1"/>
  <c r="D50" i="1"/>
  <c r="C51" i="1"/>
  <c r="E50" i="1" l="1"/>
  <c r="K50" i="1" s="1"/>
  <c r="L50" i="1" s="1"/>
  <c r="D51" i="1"/>
  <c r="C52" i="1"/>
  <c r="E51" i="1" l="1"/>
  <c r="K51" i="1" s="1"/>
  <c r="L51" i="1" s="1"/>
  <c r="D17" i="1" s="1"/>
  <c r="D52" i="1"/>
  <c r="E52" i="1" l="1"/>
  <c r="K52" i="1" s="1"/>
  <c r="L52" i="1" s="1"/>
  <c r="H26" i="1" l="1"/>
  <c r="H28" i="1" s="1"/>
  <c r="H34" i="1" s="1"/>
  <c r="G26" i="1"/>
  <c r="G28" i="1" s="1"/>
  <c r="G34" i="1" s="1"/>
  <c r="H36" i="1" l="1"/>
  <c r="H39" i="1" l="1"/>
  <c r="I26" i="1" l="1"/>
  <c r="I28" i="1" s="1"/>
  <c r="I34" i="1" s="1"/>
  <c r="I39" i="1" l="1"/>
  <c r="J26" i="1" l="1"/>
  <c r="J28" i="1" s="1"/>
  <c r="J34" i="1" s="1"/>
  <c r="J39" i="1"/>
  <c r="I36" i="1" l="1"/>
  <c r="K26" i="1"/>
  <c r="K28" i="1" s="1"/>
  <c r="K34" i="1" s="1"/>
  <c r="K39" i="1"/>
  <c r="L26" i="1"/>
  <c r="L28" i="1" s="1"/>
  <c r="L34" i="1" s="1"/>
  <c r="J36" i="1" l="1"/>
  <c r="L39" i="1"/>
  <c r="M26" i="1" l="1"/>
  <c r="M28" i="1" s="1"/>
  <c r="M34" i="1" s="1"/>
  <c r="M39" i="1"/>
  <c r="N26" i="1" l="1"/>
  <c r="N28" i="1" s="1"/>
  <c r="N34" i="1" s="1"/>
  <c r="K36" i="1"/>
  <c r="L36" i="1"/>
  <c r="N39" i="1"/>
  <c r="O26" i="1"/>
  <c r="O28" i="1" s="1"/>
  <c r="O34" i="1" s="1"/>
  <c r="O39" i="1" l="1"/>
  <c r="Q26" i="1"/>
  <c r="Q28" i="1" s="1"/>
  <c r="Q34" i="1" s="1"/>
  <c r="P26" i="1"/>
  <c r="P28" i="1" s="1"/>
  <c r="P34" i="1" s="1"/>
  <c r="E26" i="1"/>
  <c r="E28" i="1" s="1"/>
  <c r="E34" i="1" l="1"/>
  <c r="E36" i="1" s="1"/>
  <c r="N36" i="1"/>
  <c r="M36" i="1"/>
  <c r="E39" i="1"/>
  <c r="P39" i="1"/>
  <c r="Q39" i="1" l="1"/>
  <c r="P36" i="1"/>
  <c r="O36" i="1"/>
  <c r="Q36" i="1" l="1"/>
  <c r="R39" i="1"/>
  <c r="I11" i="1"/>
  <c r="R26" i="1"/>
  <c r="R28" i="1" s="1"/>
  <c r="I14" i="1" l="1"/>
  <c r="R34" i="1"/>
  <c r="N52" i="1" s="1"/>
  <c r="F26" i="1"/>
  <c r="F28" i="1" s="1"/>
  <c r="F34" i="1" s="1"/>
  <c r="N47" i="1" l="1"/>
  <c r="N51" i="1"/>
  <c r="N44" i="1"/>
  <c r="N50" i="1"/>
  <c r="N45" i="1"/>
  <c r="N49" i="1"/>
  <c r="N43" i="1"/>
  <c r="N46" i="1"/>
  <c r="N48" i="1"/>
  <c r="I15" i="1"/>
  <c r="R36" i="1"/>
  <c r="F36" i="1"/>
  <c r="G36" i="1"/>
  <c r="F39" i="1" l="1"/>
  <c r="G39" i="1"/>
  <c r="I16" i="1" l="1"/>
</calcChain>
</file>

<file path=xl/sharedStrings.xml><?xml version="1.0" encoding="utf-8"?>
<sst xmlns="http://schemas.openxmlformats.org/spreadsheetml/2006/main" count="73" uniqueCount="62">
  <si>
    <t>($ in Millions Except Per Share and Per Unit Data)</t>
  </si>
  <si>
    <t>Revenue:</t>
  </si>
  <si>
    <t>%</t>
  </si>
  <si>
    <t>Operating Income (EBIT):</t>
  </si>
  <si>
    <t>Effective Tax Rate:</t>
  </si>
  <si>
    <t>Equity:</t>
  </si>
  <si>
    <t>Beta:</t>
  </si>
  <si>
    <t>Discounted Cash Flow (DCF) Analysis - Assumptions and Output:</t>
  </si>
  <si>
    <t>Discount Rate (WACC):</t>
  </si>
  <si>
    <t>Baseline Terminal EBITDA Multiple:</t>
  </si>
  <si>
    <t>Baseline Terminal Value:</t>
  </si>
  <si>
    <t>Implied Enterprise Value:</t>
  </si>
  <si>
    <t>Risk-Free Rate:</t>
  </si>
  <si>
    <t>Equity Risk Premium:</t>
  </si>
  <si>
    <t>Net Operating Profit After Tax (NOPAT):</t>
  </si>
  <si>
    <t>Annual EBITDA:</t>
  </si>
  <si>
    <t>Unlevered Free Cash Flow Projections:</t>
  </si>
  <si>
    <t>Annual Unlevered Free Cash Flow:</t>
  </si>
  <si>
    <t>Annual Free Cash Flow Growth Rate:</t>
  </si>
  <si>
    <t>Annual EBITDA Growth Rate:</t>
  </si>
  <si>
    <t>Terminal Value - Multiples Method: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</si>
  <si>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</si>
  <si>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</si>
  <si>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</si>
  <si>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</si>
  <si>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</si>
  <si>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</si>
  <si>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</si>
  <si>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</si>
  <si>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</si>
  <si>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</si>
  <si>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</si>
  <si>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</si>
  <si>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</si>
  <si>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</si>
  <si>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Projected:</t>
  </si>
  <si>
    <t>Historical:</t>
  </si>
  <si>
    <t>$ M</t>
  </si>
  <si>
    <t xml:space="preserve">Debt / </t>
  </si>
  <si>
    <t>Relevered</t>
  </si>
  <si>
    <t>Risk</t>
  </si>
  <si>
    <t>Cost of Debt:</t>
  </si>
  <si>
    <t xml:space="preserve">Cost of </t>
  </si>
  <si>
    <t xml:space="preserve">Implied </t>
  </si>
  <si>
    <t>Spread:</t>
  </si>
  <si>
    <t>Pre-Tax:</t>
  </si>
  <si>
    <t>After-Tax:</t>
  </si>
  <si>
    <t>WACC:</t>
  </si>
  <si>
    <t>Total Capital:</t>
  </si>
  <si>
    <t>Median Unlevered Beta for Comparables:</t>
  </si>
  <si>
    <t>Company - Targeted Debt / Total Capital Ratio:</t>
  </si>
  <si>
    <t>Enterprise Value:</t>
  </si>
  <si>
    <t>Years in Projection Period:</t>
  </si>
  <si>
    <t>(+) PV of Terminal Value:</t>
  </si>
  <si>
    <t>(+) Sum of PV of Free Cash Flows:</t>
  </si>
  <si>
    <t>(-) Taxes, Excluding Effect of Interest:</t>
  </si>
  <si>
    <t>(-) Capital Expenditures:</t>
  </si>
  <si>
    <t>(+) Adjustments for Non-Cash Charges:</t>
  </si>
  <si>
    <t>(+/-) Changes in Operating Assets &amp; Liabilities:</t>
  </si>
  <si>
    <t>Units:</t>
  </si>
  <si>
    <t>Illustrative DCF Analysis and the Impact of Capital Structure Changes on the Discount Rate</t>
  </si>
  <si>
    <t>DCF-Produced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</si>
</sst>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FY&quot;yy"/>
    <numFmt numFmtId="165" formatCode="0.0%;\(0.0%\)"/>
    <numFmt numFmtId="166" formatCode="_(&quot;$&quot;* #,##0.0_);_(&quot;$&quot;* \(#,##0.0\);_(&quot;$&quot;* &quot;-&quot;?_);_(@_)"/>
    <numFmt numFmtId="167" formatCode="_(* #,##0.0_);_(* \(#,##0.0\);_(* &quot;-&quot;?_);_(@_)"/>
    <numFmt numFmtId="168" formatCode="_(0.0%_);\(0.0%\);_(&quot;–&quot;_)_%;_(@_)_%"/>
    <numFmt numFmtId="169" formatCode="_(0.0\ \x_);\(0.0\ \x\);_(&quot;–&quot;_);_(@_)"/>
    <numFmt numFmtId="170" formatCode="_(0.00%_);\(0.00%\);_(&quot;–&quot;_)_%;_(@_)_%"/>
    <numFmt numFmtId="171" formatCode="_(#,##0.00_);\(#,##0.00\);_(&quot;–&quot;_);_(@_)"/>
  </numFmts>
  <fonts count="3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000FF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FF"/>
      <name val="Calibri"/>
      <family val="2"/>
      <scheme val="minor"/>
    </font>
    <font>
      <i/>
      <sz val="12"/>
      <color theme="1"/>
      <name val="Calibri"/>
      <family val="2"/>
    </font>
    <font>
      <i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2">
    <xf numFmtId="0" fontId="0" fillId="0" borderId="0"/>
    <xf numFmtId="0" fontId="8" fillId="2" borderId="2" applyNumberFormat="0" applyAlignment="0" applyProtection="0"/>
    <xf numFmtId="0" fontId="9" fillId="0" borderId="0"/>
    <xf numFmtId="0" fontId="6" fillId="0" borderId="0"/>
    <xf numFmtId="0" fontId="5" fillId="0" borderId="0"/>
    <xf numFmtId="0" fontId="10" fillId="0" borderId="0" applyAlignment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7" fillId="0" borderId="0" xfId="0" applyFont="1"/>
    <xf numFmtId="0" fontId="12" fillId="0" borderId="0" xfId="0" applyFont="1"/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4" borderId="0" xfId="0" applyFont="1" applyFill="1" applyAlignment="1">
      <alignment horizontal="center"/>
    </xf>
    <xf numFmtId="0" fontId="17" fillId="4" borderId="0" xfId="0" applyFont="1" applyFill="1"/>
    <xf numFmtId="0" fontId="16" fillId="4" borderId="1" xfId="0" applyFont="1" applyFill="1" applyBorder="1" applyAlignment="1">
      <alignment horizontal="centerContinuous"/>
    </xf>
    <xf numFmtId="0" fontId="17" fillId="4" borderId="1" xfId="0" applyFont="1" applyFill="1" applyBorder="1" applyAlignment="1">
      <alignment horizontal="centerContinuous"/>
    </xf>
    <xf numFmtId="0" fontId="18" fillId="3" borderId="1" xfId="0" applyFont="1" applyFill="1" applyBorder="1"/>
    <xf numFmtId="0" fontId="19" fillId="3" borderId="1" xfId="0" applyFont="1" applyFill="1" applyBorder="1"/>
    <xf numFmtId="0" fontId="15" fillId="3" borderId="1" xfId="0" applyFont="1" applyFill="1" applyBorder="1"/>
    <xf numFmtId="0" fontId="14" fillId="3" borderId="1" xfId="0" applyFont="1" applyFill="1" applyBorder="1"/>
    <xf numFmtId="0" fontId="16" fillId="4" borderId="1" xfId="0" applyFont="1" applyFill="1" applyBorder="1" applyAlignment="1">
      <alignment horizontal="center"/>
    </xf>
    <xf numFmtId="0" fontId="17" fillId="4" borderId="1" xfId="0" applyFont="1" applyFill="1" applyBorder="1"/>
    <xf numFmtId="168" fontId="20" fillId="0" borderId="0" xfId="0" applyNumberFormat="1" applyFont="1" applyAlignment="1">
      <alignment horizontal="center"/>
    </xf>
    <xf numFmtId="168" fontId="21" fillId="0" borderId="0" xfId="0" applyNumberFormat="1" applyFont="1" applyAlignment="1">
      <alignment horizontal="center"/>
    </xf>
    <xf numFmtId="171" fontId="17" fillId="0" borderId="0" xfId="0" applyNumberFormat="1" applyFont="1" applyAlignment="1">
      <alignment horizontal="center"/>
    </xf>
    <xf numFmtId="0" fontId="17" fillId="0" borderId="0" xfId="0" applyFont="1"/>
    <xf numFmtId="166" fontId="12" fillId="0" borderId="0" xfId="0" applyNumberFormat="1" applyFont="1"/>
    <xf numFmtId="165" fontId="20" fillId="2" borderId="2" xfId="1" applyNumberFormat="1" applyFont="1" applyAlignment="1">
      <alignment horizontal="center"/>
    </xf>
    <xf numFmtId="0" fontId="22" fillId="0" borderId="0" xfId="2" applyFont="1"/>
    <xf numFmtId="0" fontId="11" fillId="4" borderId="1" xfId="0" applyFont="1" applyFill="1" applyBorder="1" applyAlignment="1">
      <alignment horizontal="centerContinuous"/>
    </xf>
    <xf numFmtId="0" fontId="12" fillId="4" borderId="1" xfId="0" applyFont="1" applyFill="1" applyBorder="1" applyAlignment="1">
      <alignment horizontal="centerContinuous"/>
    </xf>
    <xf numFmtId="167" fontId="12" fillId="0" borderId="0" xfId="0" applyNumberFormat="1" applyFont="1"/>
    <xf numFmtId="1" fontId="23" fillId="2" borderId="3" xfId="0" applyNumberFormat="1" applyFont="1" applyFill="1" applyBorder="1" applyAlignment="1">
      <alignment horizontal="center"/>
    </xf>
    <xf numFmtId="169" fontId="23" fillId="2" borderId="3" xfId="0" applyNumberFormat="1" applyFont="1" applyFill="1" applyBorder="1" applyAlignment="1">
      <alignment horizontal="center"/>
    </xf>
    <xf numFmtId="170" fontId="23" fillId="2" borderId="3" xfId="0" applyNumberFormat="1" applyFont="1" applyFill="1" applyBorder="1" applyAlignment="1">
      <alignment horizontal="center"/>
    </xf>
    <xf numFmtId="170" fontId="23" fillId="0" borderId="0" xfId="0" applyNumberFormat="1" applyFont="1" applyAlignment="1">
      <alignment horizontal="center"/>
    </xf>
    <xf numFmtId="2" fontId="23" fillId="2" borderId="3" xfId="0" applyNumberFormat="1" applyFont="1" applyFill="1" applyBorder="1" applyAlignment="1">
      <alignment horizontal="center"/>
    </xf>
    <xf numFmtId="0" fontId="22" fillId="0" borderId="0" xfId="2" applyFont="1" applyAlignment="1">
      <alignment horizontal="left" indent="1"/>
    </xf>
    <xf numFmtId="0" fontId="22" fillId="0" borderId="1" xfId="2" applyFont="1" applyBorder="1" applyAlignment="1">
      <alignment horizontal="left" indent="1"/>
    </xf>
    <xf numFmtId="0" fontId="22" fillId="0" borderId="1" xfId="2" applyFont="1" applyBorder="1"/>
    <xf numFmtId="167" fontId="12" fillId="0" borderId="1" xfId="0" applyNumberFormat="1" applyFont="1" applyBorder="1"/>
    <xf numFmtId="165" fontId="21" fillId="2" borderId="2" xfId="1" applyNumberFormat="1" applyFont="1" applyAlignment="1">
      <alignment horizontal="center"/>
    </xf>
    <xf numFmtId="0" fontId="24" fillId="0" borderId="0" xfId="2" applyFont="1"/>
    <xf numFmtId="166" fontId="11" fillId="0" borderId="0" xfId="0" applyNumberFormat="1" applyFont="1"/>
    <xf numFmtId="170" fontId="22" fillId="2" borderId="3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Continuous"/>
    </xf>
    <xf numFmtId="0" fontId="15" fillId="3" borderId="4" xfId="0" applyFont="1" applyFill="1" applyBorder="1" applyAlignment="1">
      <alignment horizontal="centerContinuous"/>
    </xf>
    <xf numFmtId="0" fontId="18" fillId="3" borderId="6" xfId="0" applyFont="1" applyFill="1" applyBorder="1" applyAlignment="1">
      <alignment horizontal="centerContinuous"/>
    </xf>
    <xf numFmtId="0" fontId="14" fillId="3" borderId="4" xfId="0" applyFont="1" applyFill="1" applyBorder="1" applyAlignment="1">
      <alignment horizontal="centerContinuous"/>
    </xf>
    <xf numFmtId="0" fontId="19" fillId="3" borderId="1" xfId="0" applyFont="1" applyFill="1" applyBorder="1" applyAlignment="1">
      <alignment horizontal="center"/>
    </xf>
    <xf numFmtId="164" fontId="18" fillId="3" borderId="1" xfId="0" applyNumberFormat="1" applyFont="1" applyFill="1" applyBorder="1" applyAlignment="1">
      <alignment horizontal="center"/>
    </xf>
    <xf numFmtId="164" fontId="18" fillId="3" borderId="5" xfId="0" applyNumberFormat="1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center"/>
    </xf>
    <xf numFmtId="166" fontId="25" fillId="0" borderId="0" xfId="0" applyNumberFormat="1" applyFont="1"/>
    <xf numFmtId="0" fontId="26" fillId="0" borderId="0" xfId="0" applyFont="1" applyAlignment="1">
      <alignment horizontal="left" indent="1"/>
    </xf>
    <xf numFmtId="165" fontId="27" fillId="0" borderId="0" xfId="0" applyNumberFormat="1" applyFont="1"/>
    <xf numFmtId="167" fontId="23" fillId="0" borderId="0" xfId="0" applyNumberFormat="1" applyFont="1"/>
    <xf numFmtId="167" fontId="28" fillId="0" borderId="0" xfId="0" applyNumberFormat="1" applyFont="1"/>
    <xf numFmtId="167" fontId="29" fillId="0" borderId="0" xfId="0" applyNumberFormat="1" applyFont="1"/>
    <xf numFmtId="0" fontId="16" fillId="5" borderId="0" xfId="0" applyFont="1" applyFill="1"/>
    <xf numFmtId="0" fontId="13" fillId="5" borderId="0" xfId="0" applyFont="1" applyFill="1" applyAlignment="1">
      <alignment horizontal="center"/>
    </xf>
    <xf numFmtId="166" fontId="29" fillId="5" borderId="0" xfId="0" applyNumberFormat="1" applyFont="1" applyFill="1"/>
    <xf numFmtId="0" fontId="26" fillId="0" borderId="0" xfId="0" applyFont="1"/>
    <xf numFmtId="0" fontId="16" fillId="6" borderId="0" xfId="0" applyFont="1" applyFill="1"/>
    <xf numFmtId="0" fontId="13" fillId="6" borderId="0" xfId="0" applyFont="1" applyFill="1" applyAlignment="1">
      <alignment horizontal="center"/>
    </xf>
    <xf numFmtId="166" fontId="11" fillId="6" borderId="0" xfId="0" applyNumberFormat="1" applyFont="1" applyFill="1"/>
    <xf numFmtId="0" fontId="13" fillId="0" borderId="0" xfId="0" applyFont="1" applyAlignment="1">
      <alignment horizontal="left" indent="1"/>
    </xf>
    <xf numFmtId="9" fontId="13" fillId="0" borderId="0" xfId="0" applyNumberFormat="1" applyFont="1"/>
    <xf numFmtId="165" fontId="22" fillId="0" borderId="0" xfId="2" applyNumberFormat="1" applyFont="1"/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/>
  </cellXfs>
  <cellStyles count="12">
    <cellStyle name="Normal" xfId="0" builtinId="0" customBuiltin="1"/>
    <cellStyle name="Normal 2" xfId="2" xr:uid="{00000000-0005-0000-0000-000001000000}"/>
    <cellStyle name="Normal 3" xfId="3" xr:uid="{00000000-0005-0000-0000-000002000000}"/>
    <cellStyle name="Normal 3 2" xfId="7" xr:uid="{00000000-0005-0000-0000-000003000000}"/>
    <cellStyle name="Normal 3 3" xfId="9" xr:uid="{00000000-0005-0000-0000-000004000000}"/>
    <cellStyle name="Normal 3 4" xfId="10" xr:uid="{00000000-0005-0000-0000-000005000000}"/>
    <cellStyle name="Normal 4" xfId="4" xr:uid="{00000000-0005-0000-0000-000006000000}"/>
    <cellStyle name="Normal 4 2" xfId="8" xr:uid="{00000000-0005-0000-0000-000007000000}"/>
    <cellStyle name="Normal 5" xfId="6" xr:uid="{00000000-0005-0000-0000-000008000000}"/>
    <cellStyle name="Normal 5 2" xfId="11" xr:uid="{00000000-0005-0000-0000-000009000000}"/>
    <cellStyle name="Note" xfId="1" builtinId="10" customBuiltin="1"/>
    <cellStyle name="TextNormal" xfId="5" xr:uid="{00000000-0005-0000-0000-00000B000000}"/>
  </cellStyles>
  <dxfs count="0"/>
  <tableStyles count="0" defaultTableStyle="TableStyleMedium2" defaultPivotStyle="PivotStyleLight16"/>
  <colors>
    <mruColors>
      <color rgb="FF0000FF"/>
      <color rgb="FFFFFF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WACC,</a:t>
            </a:r>
            <a:r>
              <a:rPr lang="en-US" b="1" baseline="0">
                <a:solidFill>
                  <a:sysClr val="windowText" lastClr="000000"/>
                </a:solidFill>
              </a:rPr>
              <a:t> Cost of Equity, and Cost of Debt </a:t>
            </a:r>
            <a:r>
              <a:rPr lang="en-US" b="1">
                <a:solidFill>
                  <a:sysClr val="windowText" lastClr="000000"/>
                </a:solidFill>
              </a:rPr>
              <a:t>at Different</a:t>
            </a:r>
            <a:r>
              <a:rPr lang="en-US" b="1" baseline="0">
                <a:solidFill>
                  <a:sysClr val="windowText" lastClr="000000"/>
                </a:solidFill>
              </a:rPr>
              <a:t> Debt / Total Capital Ratios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After-Tax Cost of Debt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Debt_Equity_Enterprise_Value!$C$43:$C$52</c:f>
              <c:numCache>
                <c:formatCode>_(0.0%_);\(0.0%\);_("–"_)_%;_(@_)_%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</c:numCache>
            </c:numRef>
          </c:cat>
          <c:val>
            <c:numRef>
              <c:f>Debt_Equity_Enterprise_Value!$I$43:$I$52</c:f>
              <c:numCache>
                <c:formatCode>_(0.0%_);\(0.0%\);_("–"_)_%;_(@_)_%</c:formatCode>
                <c:ptCount val="10"/>
                <c:pt idx="0">
                  <c:v>3.7500000000000006E-2</c:v>
                </c:pt>
                <c:pt idx="1">
                  <c:v>4.1250000000000002E-2</c:v>
                </c:pt>
                <c:pt idx="2">
                  <c:v>4.4999999999999998E-2</c:v>
                </c:pt>
                <c:pt idx="3">
                  <c:v>4.8750000000000002E-2</c:v>
                </c:pt>
                <c:pt idx="4">
                  <c:v>6.7500000000000004E-2</c:v>
                </c:pt>
                <c:pt idx="5">
                  <c:v>7.5000000000000011E-2</c:v>
                </c:pt>
                <c:pt idx="6">
                  <c:v>8.2500000000000018E-2</c:v>
                </c:pt>
                <c:pt idx="7">
                  <c:v>0.09</c:v>
                </c:pt>
                <c:pt idx="8">
                  <c:v>9.7500000000000003E-2</c:v>
                </c:pt>
                <c:pt idx="9">
                  <c:v>0.10500000000000001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C-4EBC-8C9E-6271212F0E62}"/>
            </c:ext>
          </c:extLst>
        </c:ser>
        <c:ser>
          <c:idx val="1"/>
          <c:order val="1"/>
          <c:tx>
            <c:v>Cost of Equity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Debt_Equity_Enterprise_Value!$C$43:$C$52</c:f>
              <c:numCache>
                <c:formatCode>_(0.0%_);\(0.0%\);_("–"_)_%;_(@_)_%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</c:numCache>
            </c:numRef>
          </c:cat>
          <c:val>
            <c:numRef>
              <c:f>Debt_Equity_Enterprise_Value!$K$43:$K$52</c:f>
              <c:numCache>
                <c:formatCode>_(0.0%_);\(0.0%\);_("–"_)_%;_(@_)_%</c:formatCode>
                <c:ptCount val="10"/>
                <c:pt idx="0">
                  <c:v>0.10600000000000001</c:v>
                </c:pt>
                <c:pt idx="1">
                  <c:v>0.11149999999999999</c:v>
                </c:pt>
                <c:pt idx="2">
                  <c:v>0.11837500000000001</c:v>
                </c:pt>
                <c:pt idx="3">
                  <c:v>0.12721428571428572</c:v>
                </c:pt>
                <c:pt idx="4">
                  <c:v>0.13899999999999998</c:v>
                </c:pt>
                <c:pt idx="5">
                  <c:v>0.1555</c:v>
                </c:pt>
                <c:pt idx="6">
                  <c:v>0.18024999999999999</c:v>
                </c:pt>
                <c:pt idx="7">
                  <c:v>0.2215</c:v>
                </c:pt>
                <c:pt idx="8">
                  <c:v>0.30399999999999988</c:v>
                </c:pt>
                <c:pt idx="9">
                  <c:v>0.55149999999999955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C-4EBC-8C9E-6271212F0E62}"/>
            </c:ext>
          </c:extLst>
        </c:ser>
        <c:ser>
          <c:idx val="2"/>
          <c:order val="2"/>
          <c:tx>
            <c:v>Discount Rate (WACC)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Debt_Equity_Enterprise_Value!$C$43:$C$52</c:f>
              <c:numCache>
                <c:formatCode>_(0.0%_);\(0.0%\);_("–"_)_%;_(@_)_%</c:formatCode>
                <c:ptCount val="10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</c:numCache>
            </c:numRef>
          </c:cat>
          <c:val>
            <c:numRef>
              <c:f>Debt_Equity_Enterprise_Value!$L$43:$L$52</c:f>
              <c:numCache>
                <c:formatCode>_(0.0%_);\(0.0%\);_("–"_)_%;_(@_)_%</c:formatCode>
                <c:ptCount val="10"/>
                <c:pt idx="0">
                  <c:v>0.10600000000000001</c:v>
                </c:pt>
                <c:pt idx="1">
                  <c:v>0.104475</c:v>
                </c:pt>
                <c:pt idx="2">
                  <c:v>0.1037</c:v>
                </c:pt>
                <c:pt idx="3">
                  <c:v>0.103675</c:v>
                </c:pt>
                <c:pt idx="4">
                  <c:v>0.1104</c:v>
                </c:pt>
                <c:pt idx="5">
                  <c:v>0.11525000000000001</c:v>
                </c:pt>
                <c:pt idx="6">
                  <c:v>0.12160000000000001</c:v>
                </c:pt>
                <c:pt idx="7">
                  <c:v>0.12945000000000001</c:v>
                </c:pt>
                <c:pt idx="8">
                  <c:v>0.13880000000000001</c:v>
                </c:pt>
                <c:pt idx="9">
                  <c:v>0.14965000000000001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C-4EBC-8C9E-6271212F0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978096"/>
        <c:axId val="483975536"/>
      </c:lineChart>
      <c:catAx>
        <c:axId val="483978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Debt / Total Capital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75536"/>
        <c:crosses val="autoZero"/>
        <c:auto val="1"/>
        <c:lblAlgn val="ctr"/>
        <c:lblOffset val="100"/>
        <c:noMultiLvlLbl val="0"/>
      </c:catAx>
      <c:valAx>
        <c:axId val="4839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Cost of Equity, Cost of Debt, and WACC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78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</xdr:colOff>
      <xdr:row>52</xdr:row>
      <xdr:rowOff>197304</xdr:rowOff>
    </xdr:from>
    <xdr:to>
      <xdr:col>10</xdr:col>
      <xdr:colOff>10885</xdr:colOff>
      <xdr:row>76</xdr:row>
      <xdr:rowOff>37284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FFB7E6-17CE-44D4-B334-C632E1CB4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R78"/>
  <sheetViews>
    <sheetView showGridLines="0" tabSelected="1" zoomScaleNormal="100" workbookViewId="0">
      <selection activeCell="G16" sqref="G16"/>
    </sheetView>
  </sheetViews>
  <sheetFormatPr defaultColWidth="8.84375" defaultRowHeight="15.9" x14ac:dyDescent="0.45"/>
  <cols>
    <col min="1" max="2" width="2.69140625" style="2" customWidth="1"/>
    <col min="3" max="3" width="45.69140625" style="2" customWidth="1"/>
    <col min="4" max="6" width="12.69140625" style="3" customWidth="1"/>
    <col min="7" max="18" width="12.69140625" style="2" customWidth="1"/>
    <col min="19" max="20" width="2.69140625" style="2" customWidth="1"/>
    <col min="21" max="21" width="12" style="2" customWidth="1"/>
    <col min="22" max="32" width="10.69140625" style="2" customWidth="1"/>
    <col min="33" max="33" width="11.53515625" style="2" bestFit="1" customWidth="1"/>
    <col min="34" max="34" width="10.69140625" style="2" customWidth="1"/>
    <col min="35" max="35" width="11.53515625" style="2" bestFit="1" customWidth="1"/>
    <col min="36" max="36" width="10.69140625" style="2" customWidth="1"/>
    <col min="37" max="16384" width="8.84375" style="2"/>
  </cols>
  <sheetData>
    <row r="2" spans="2:18" ht="18.45" x14ac:dyDescent="0.5">
      <c r="B2" s="1" t="s">
        <v>60</v>
      </c>
    </row>
    <row r="3" spans="2:18" x14ac:dyDescent="0.45">
      <c r="B3" s="2" t="s">
        <v>0</v>
      </c>
    </row>
    <row r="5" spans="2:18" x14ac:dyDescent="0.45">
      <c r="B5" s="4"/>
      <c r="C5" s="4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x14ac:dyDescent="0.45">
      <c r="B6" s="10" t="s">
        <v>7</v>
      </c>
      <c r="C6" s="10"/>
      <c r="D6" s="11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8" spans="2:18" x14ac:dyDescent="0.45">
      <c r="C8" s="2" t="s">
        <v>4</v>
      </c>
      <c r="D8" s="21">
        <v>0.25</v>
      </c>
      <c r="E8" s="22"/>
      <c r="F8" s="23" t="s">
        <v>20</v>
      </c>
      <c r="G8" s="24"/>
      <c r="H8" s="24"/>
      <c r="I8" s="24"/>
    </row>
    <row r="9" spans="2:18" x14ac:dyDescent="0.45">
      <c r="C9" s="2" t="s">
        <v>52</v>
      </c>
      <c r="D9" s="26">
        <v>10</v>
      </c>
    </row>
    <row r="10" spans="2:18" x14ac:dyDescent="0.45">
      <c r="F10" s="22" t="s">
        <v>9</v>
      </c>
      <c r="G10" s="22"/>
      <c r="H10" s="22"/>
      <c r="I10" s="27">
        <v>10</v>
      </c>
    </row>
    <row r="11" spans="2:18" x14ac:dyDescent="0.45">
      <c r="C11" s="22" t="s">
        <v>12</v>
      </c>
      <c r="D11" s="28">
        <v>0.04</v>
      </c>
      <c r="F11" s="22" t="s">
        <v>10</v>
      </c>
      <c r="G11" s="22"/>
      <c r="H11" s="22"/>
      <c r="I11" s="20">
        <f>+Terminal_Multiple*R38</f>
        <v>8735.1174768468518</v>
      </c>
    </row>
    <row r="12" spans="2:18" x14ac:dyDescent="0.45">
      <c r="C12" s="22" t="s">
        <v>13</v>
      </c>
      <c r="D12" s="28">
        <v>5.5E-2</v>
      </c>
      <c r="F12" s="22"/>
      <c r="I12" s="63"/>
    </row>
    <row r="13" spans="2:18" x14ac:dyDescent="0.45">
      <c r="C13" s="22"/>
      <c r="D13" s="29"/>
    </row>
    <row r="14" spans="2:18" x14ac:dyDescent="0.45">
      <c r="C14" s="22" t="s">
        <v>49</v>
      </c>
      <c r="D14" s="30">
        <v>1.2</v>
      </c>
      <c r="F14" s="31" t="s">
        <v>53</v>
      </c>
      <c r="G14" s="22"/>
      <c r="H14" s="22"/>
      <c r="I14" s="25">
        <f>+I11/((1+Discount_Rate)^Num_Years)</f>
        <v>3257.2920409489616</v>
      </c>
    </row>
    <row r="15" spans="2:18" x14ac:dyDescent="0.45">
      <c r="F15" s="32" t="s">
        <v>54</v>
      </c>
      <c r="G15" s="33"/>
      <c r="H15" s="33"/>
      <c r="I15" s="34">
        <f>NPV(Discount_Rate,I34:R34)</f>
        <v>6318.8823771512807</v>
      </c>
    </row>
    <row r="16" spans="2:18" x14ac:dyDescent="0.45">
      <c r="C16" s="22" t="s">
        <v>50</v>
      </c>
      <c r="D16" s="35">
        <v>0.30000000000000004</v>
      </c>
      <c r="F16" s="36" t="s">
        <v>11</v>
      </c>
      <c r="G16" s="22"/>
      <c r="H16" s="22"/>
      <c r="I16" s="37">
        <f>SUM(I14:I15)</f>
        <v>9576.1744181002432</v>
      </c>
    </row>
    <row r="17" spans="2:18" x14ac:dyDescent="0.45">
      <c r="C17" s="22" t="s">
        <v>8</v>
      </c>
      <c r="D17" s="38">
        <f>INDEX($C$42:$L$52,MATCH($D$16,$C$42:$C$52,0),MATCH("WACC:",$C$42:$L$42,0))</f>
        <v>0.103675</v>
      </c>
      <c r="F17" s="22"/>
      <c r="G17" s="22"/>
      <c r="H17" s="22"/>
      <c r="I17" s="22"/>
      <c r="K17" s="22"/>
      <c r="N17" s="22"/>
    </row>
    <row r="18" spans="2:18" x14ac:dyDescent="0.45">
      <c r="F18" s="22"/>
      <c r="G18" s="22"/>
      <c r="H18" s="22"/>
      <c r="I18" s="22"/>
      <c r="K18" s="22"/>
      <c r="N18" s="22"/>
    </row>
    <row r="19" spans="2:18" x14ac:dyDescent="0.45">
      <c r="B19" s="4"/>
      <c r="C19" s="4"/>
      <c r="D19" s="5"/>
      <c r="E19" s="39" t="s">
        <v>36</v>
      </c>
      <c r="F19" s="40"/>
      <c r="G19" s="39"/>
      <c r="H19" s="41"/>
      <c r="I19" s="39" t="s">
        <v>35</v>
      </c>
      <c r="J19" s="39"/>
      <c r="K19" s="39"/>
      <c r="L19" s="39"/>
      <c r="M19" s="39"/>
      <c r="N19" s="42"/>
      <c r="O19" s="42"/>
      <c r="P19" s="42"/>
      <c r="Q19" s="42"/>
      <c r="R19" s="42"/>
    </row>
    <row r="20" spans="2:18" x14ac:dyDescent="0.45">
      <c r="B20" s="10" t="s">
        <v>16</v>
      </c>
      <c r="C20" s="10"/>
      <c r="D20" s="43" t="s">
        <v>59</v>
      </c>
      <c r="E20" s="44" t="s">
        <v>21</v>
      </c>
      <c r="F20" s="44" t="s">
        <v>22</v>
      </c>
      <c r="G20" s="44" t="s">
        <v>23</v>
      </c>
      <c r="H20" s="45" t="s">
        <v>24</v>
      </c>
      <c r="I20" s="44" t="s">
        <v>25</v>
      </c>
      <c r="J20" s="44" t="s">
        <v>26</v>
      </c>
      <c r="K20" s="44" t="s">
        <v>27</v>
      </c>
      <c r="L20" s="44" t="s">
        <v>28</v>
      </c>
      <c r="M20" s="44" t="s">
        <v>29</v>
      </c>
      <c r="N20" s="44" t="s">
        <v>30</v>
      </c>
      <c r="O20" s="44" t="s">
        <v>31</v>
      </c>
      <c r="P20" s="44" t="s">
        <v>32</v>
      </c>
      <c r="Q20" s="44" t="s">
        <v>33</v>
      </c>
      <c r="R20" s="44" t="s">
        <v>34</v>
      </c>
    </row>
    <row r="22" spans="2:18" x14ac:dyDescent="0.45">
      <c r="C22" s="46" t="s">
        <v>1</v>
      </c>
      <c r="D22" s="47" t="s">
        <v>37</v>
      </c>
      <c r="E22" s="48">
        <v>173.78100000000001</v>
      </c>
      <c r="F22" s="48">
        <v>272.27700000000004</v>
      </c>
      <c r="G22" s="48">
        <v>585.97900000000004</v>
      </c>
      <c r="H22" s="48">
        <v>872.423</v>
      </c>
      <c r="I22" s="48">
        <v>1176.8697723647181</v>
      </c>
      <c r="J22" s="48">
        <v>1553.258794387468</v>
      </c>
      <c r="K22" s="48">
        <v>1998.0287253028318</v>
      </c>
      <c r="L22" s="48">
        <v>2554.2752700963779</v>
      </c>
      <c r="M22" s="48">
        <v>3174.8281929278291</v>
      </c>
      <c r="N22" s="48">
        <v>3853.1789570082601</v>
      </c>
      <c r="O22" s="48">
        <v>4323.1000000000004</v>
      </c>
      <c r="P22" s="48">
        <v>4567.8</v>
      </c>
      <c r="Q22" s="48">
        <v>4701.2</v>
      </c>
      <c r="R22" s="48">
        <v>4814.5</v>
      </c>
    </row>
    <row r="23" spans="2:18" x14ac:dyDescent="0.45">
      <c r="C23" s="49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pans="2:18" x14ac:dyDescent="0.45">
      <c r="C24" s="19" t="s">
        <v>3</v>
      </c>
      <c r="D24" s="47" t="s">
        <v>37</v>
      </c>
      <c r="E24" s="51">
        <v>57.789000000000016</v>
      </c>
      <c r="F24" s="51">
        <v>127.83100000000002</v>
      </c>
      <c r="G24" s="51">
        <v>197.84399999999999</v>
      </c>
      <c r="H24" s="51">
        <v>340.31200000000001</v>
      </c>
      <c r="I24" s="51">
        <v>348.6808794070073</v>
      </c>
      <c r="J24" s="51">
        <v>696.99982162709557</v>
      </c>
      <c r="K24" s="51">
        <v>911.70187072726958</v>
      </c>
      <c r="L24" s="51">
        <v>1169.9112012652834</v>
      </c>
      <c r="M24" s="51">
        <v>1453.2267549794219</v>
      </c>
      <c r="N24" s="51">
        <v>1767.9903297173139</v>
      </c>
      <c r="O24" s="51">
        <v>2064.1792328893334</v>
      </c>
      <c r="P24" s="51">
        <v>2181.0177650278497</v>
      </c>
      <c r="Q24" s="51">
        <v>2244.7131478937181</v>
      </c>
      <c r="R24" s="51">
        <v>2298.8112504327205</v>
      </c>
    </row>
    <row r="25" spans="2:18" x14ac:dyDescent="0.45">
      <c r="C25" s="19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2:18" x14ac:dyDescent="0.45">
      <c r="C26" s="19" t="s">
        <v>55</v>
      </c>
      <c r="D26" s="47" t="s">
        <v>37</v>
      </c>
      <c r="E26" s="52">
        <f t="shared" ref="E26:R26" si="0">-E24*Tax_Rate</f>
        <v>-14.447250000000004</v>
      </c>
      <c r="F26" s="52">
        <f t="shared" si="0"/>
        <v>-31.957750000000004</v>
      </c>
      <c r="G26" s="52">
        <f t="shared" si="0"/>
        <v>-49.460999999999999</v>
      </c>
      <c r="H26" s="52">
        <f t="shared" si="0"/>
        <v>-85.078000000000003</v>
      </c>
      <c r="I26" s="52">
        <f t="shared" si="0"/>
        <v>-87.170219851751824</v>
      </c>
      <c r="J26" s="52">
        <f t="shared" si="0"/>
        <v>-174.24995540677389</v>
      </c>
      <c r="K26" s="52">
        <f t="shared" si="0"/>
        <v>-227.92546768181739</v>
      </c>
      <c r="L26" s="52">
        <f t="shared" si="0"/>
        <v>-292.47780031632084</v>
      </c>
      <c r="M26" s="52">
        <f t="shared" si="0"/>
        <v>-363.30668874485548</v>
      </c>
      <c r="N26" s="52">
        <f t="shared" si="0"/>
        <v>-441.99758242932847</v>
      </c>
      <c r="O26" s="52">
        <f t="shared" si="0"/>
        <v>-516.04480822233336</v>
      </c>
      <c r="P26" s="52">
        <f t="shared" si="0"/>
        <v>-545.25444125696242</v>
      </c>
      <c r="Q26" s="52">
        <f t="shared" si="0"/>
        <v>-561.17828697342952</v>
      </c>
      <c r="R26" s="52">
        <f t="shared" si="0"/>
        <v>-574.70281260818012</v>
      </c>
    </row>
    <row r="27" spans="2:18" x14ac:dyDescent="0.45">
      <c r="C27" s="19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</row>
    <row r="28" spans="2:18" x14ac:dyDescent="0.45">
      <c r="C28" s="46" t="s">
        <v>14</v>
      </c>
      <c r="D28" s="47" t="s">
        <v>37</v>
      </c>
      <c r="E28" s="53">
        <f t="shared" ref="E28:R28" si="1">+E24+E26</f>
        <v>43.341750000000012</v>
      </c>
      <c r="F28" s="53">
        <f t="shared" si="1"/>
        <v>95.873250000000013</v>
      </c>
      <c r="G28" s="53">
        <f t="shared" si="1"/>
        <v>148.38299999999998</v>
      </c>
      <c r="H28" s="53">
        <f t="shared" si="1"/>
        <v>255.23400000000001</v>
      </c>
      <c r="I28" s="53">
        <f t="shared" si="1"/>
        <v>261.51065955525547</v>
      </c>
      <c r="J28" s="53">
        <f t="shared" si="1"/>
        <v>522.74986622032168</v>
      </c>
      <c r="K28" s="53">
        <f t="shared" si="1"/>
        <v>683.77640304545218</v>
      </c>
      <c r="L28" s="53">
        <f t="shared" si="1"/>
        <v>877.43340094896257</v>
      </c>
      <c r="M28" s="53">
        <f t="shared" si="1"/>
        <v>1089.9200662345665</v>
      </c>
      <c r="N28" s="53">
        <f t="shared" si="1"/>
        <v>1325.9927472879854</v>
      </c>
      <c r="O28" s="53">
        <f t="shared" si="1"/>
        <v>1548.1344246670001</v>
      </c>
      <c r="P28" s="53">
        <f t="shared" si="1"/>
        <v>1635.7633237708874</v>
      </c>
      <c r="Q28" s="53">
        <f t="shared" si="1"/>
        <v>1683.5348609202886</v>
      </c>
      <c r="R28" s="53">
        <f t="shared" si="1"/>
        <v>1724.1084378245405</v>
      </c>
    </row>
    <row r="29" spans="2:18" x14ac:dyDescent="0.45">
      <c r="C29" s="1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x14ac:dyDescent="0.45">
      <c r="C30" s="19" t="s">
        <v>57</v>
      </c>
      <c r="D30" s="47" t="s">
        <v>37</v>
      </c>
      <c r="E30" s="51">
        <v>23.683</v>
      </c>
      <c r="F30" s="51">
        <v>9.5009999999999977</v>
      </c>
      <c r="G30" s="51">
        <v>-56.682999999999993</v>
      </c>
      <c r="H30" s="51">
        <v>107.711</v>
      </c>
      <c r="I30" s="51">
        <v>265.28097908945887</v>
      </c>
      <c r="J30" s="51">
        <v>138.03979397193734</v>
      </c>
      <c r="K30" s="51">
        <v>137.91167235181695</v>
      </c>
      <c r="L30" s="51">
        <v>143.71142689067466</v>
      </c>
      <c r="M30" s="51">
        <v>147.69812554342263</v>
      </c>
      <c r="N30" s="51">
        <v>139.44133283529658</v>
      </c>
      <c r="O30" s="51">
        <v>150.28543165899623</v>
      </c>
      <c r="P30" s="51">
        <v>163.8506034402123</v>
      </c>
      <c r="Q30" s="51">
        <v>124.7080696153582</v>
      </c>
      <c r="R30" s="51">
        <v>128.52115271461133</v>
      </c>
    </row>
    <row r="31" spans="2:18" x14ac:dyDescent="0.45">
      <c r="C31" s="19" t="s">
        <v>58</v>
      </c>
      <c r="D31" s="47" t="s">
        <v>37</v>
      </c>
      <c r="E31" s="51">
        <v>-5.8120000000000012</v>
      </c>
      <c r="F31" s="51">
        <v>-3.5929999999999982</v>
      </c>
      <c r="G31" s="51">
        <v>-5.1569999999999903</v>
      </c>
      <c r="H31" s="51">
        <v>-80.957999999999998</v>
      </c>
      <c r="I31" s="51">
        <v>-29.845688280537306</v>
      </c>
      <c r="J31" s="51">
        <v>-55.387005220322635</v>
      </c>
      <c r="K31" s="51">
        <v>-50.647880239728494</v>
      </c>
      <c r="L31" s="51">
        <v>-63.147429789057462</v>
      </c>
      <c r="M31" s="51">
        <v>-71.02225189278073</v>
      </c>
      <c r="N31" s="51">
        <v>-79.094218082796687</v>
      </c>
      <c r="O31" s="51">
        <v>-80.586164714745891</v>
      </c>
      <c r="P31" s="51">
        <v>-96.982505294970039</v>
      </c>
      <c r="Q31" s="51">
        <v>-101.2</v>
      </c>
      <c r="R31" s="51">
        <v>-103.4</v>
      </c>
    </row>
    <row r="32" spans="2:18" x14ac:dyDescent="0.45">
      <c r="C32" s="19" t="s">
        <v>56</v>
      </c>
      <c r="D32" s="47" t="s">
        <v>37</v>
      </c>
      <c r="E32" s="51">
        <v>-0.73099999999999998</v>
      </c>
      <c r="F32" s="51">
        <v>-1.2789999999999999</v>
      </c>
      <c r="G32" s="51">
        <v>-5.976</v>
      </c>
      <c r="H32" s="51">
        <v>-9.9760000000000009</v>
      </c>
      <c r="I32" s="51">
        <v>-14.122437268376617</v>
      </c>
      <c r="J32" s="51">
        <v>-20.192364327037083</v>
      </c>
      <c r="K32" s="51">
        <v>-27.972402154239646</v>
      </c>
      <c r="L32" s="51">
        <v>-38.314129051445668</v>
      </c>
      <c r="M32" s="51">
        <v>-50.797251086845264</v>
      </c>
      <c r="N32" s="51">
        <v>-65.504042269140427</v>
      </c>
      <c r="O32" s="51">
        <v>-81.940876986193203</v>
      </c>
      <c r="P32" s="51">
        <v>-102.06088574016464</v>
      </c>
      <c r="Q32" s="51">
        <v>-51.6</v>
      </c>
      <c r="R32" s="51">
        <v>-38.379003103090085</v>
      </c>
    </row>
    <row r="33" spans="3:18" x14ac:dyDescent="0.45">
      <c r="C33" s="19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3:18" x14ac:dyDescent="0.45">
      <c r="C34" s="54" t="s">
        <v>17</v>
      </c>
      <c r="D34" s="55" t="s">
        <v>37</v>
      </c>
      <c r="E34" s="56">
        <f t="shared" ref="E34:R34" si="2">+E28+E30+E31+E32</f>
        <v>60.481750000000012</v>
      </c>
      <c r="F34" s="56">
        <f t="shared" si="2"/>
        <v>100.50225000000002</v>
      </c>
      <c r="G34" s="56">
        <f t="shared" si="2"/>
        <v>80.566999999999993</v>
      </c>
      <c r="H34" s="56">
        <f t="shared" si="2"/>
        <v>272.01099999999997</v>
      </c>
      <c r="I34" s="56">
        <f t="shared" si="2"/>
        <v>482.82351309580037</v>
      </c>
      <c r="J34" s="56">
        <f t="shared" si="2"/>
        <v>585.21029064489926</v>
      </c>
      <c r="K34" s="56">
        <f t="shared" si="2"/>
        <v>743.06779300330106</v>
      </c>
      <c r="L34" s="56">
        <f t="shared" si="2"/>
        <v>919.68326899913404</v>
      </c>
      <c r="M34" s="56">
        <f t="shared" si="2"/>
        <v>1115.7986887983629</v>
      </c>
      <c r="N34" s="56">
        <f t="shared" si="2"/>
        <v>1320.8358197713449</v>
      </c>
      <c r="O34" s="56">
        <f t="shared" si="2"/>
        <v>1535.8928146250573</v>
      </c>
      <c r="P34" s="56">
        <f t="shared" si="2"/>
        <v>1600.5705361759651</v>
      </c>
      <c r="Q34" s="56">
        <f>+Q28+Q30+Q31+Q32</f>
        <v>1655.4429305356468</v>
      </c>
      <c r="R34" s="56">
        <f t="shared" si="2"/>
        <v>1710.8505874360617</v>
      </c>
    </row>
    <row r="35" spans="3:18" x14ac:dyDescent="0.45">
      <c r="C35" s="46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3:18" x14ac:dyDescent="0.45">
      <c r="C36" s="57" t="s">
        <v>18</v>
      </c>
      <c r="D36" s="47" t="s">
        <v>2</v>
      </c>
      <c r="E36" s="50" t="str">
        <f t="shared" ref="E36:R36" si="3">IFERROR(+E34/D34-1,"N/A")</f>
        <v>N/A</v>
      </c>
      <c r="F36" s="50">
        <f t="shared" si="3"/>
        <v>0.66169547012115215</v>
      </c>
      <c r="G36" s="50">
        <f t="shared" si="3"/>
        <v>-0.19835625570571824</v>
      </c>
      <c r="H36" s="50">
        <f t="shared" si="3"/>
        <v>2.3762086213958566</v>
      </c>
      <c r="I36" s="50">
        <f>IFERROR(+I34/H34-1,"N/A")</f>
        <v>0.77501466152398413</v>
      </c>
      <c r="J36" s="50">
        <f>IFERROR(+J34/I34-1,"N/A")</f>
        <v>0.21205839146608341</v>
      </c>
      <c r="K36" s="50">
        <f t="shared" si="3"/>
        <v>0.26974491884693874</v>
      </c>
      <c r="L36" s="50">
        <f t="shared" si="3"/>
        <v>0.23768420278585323</v>
      </c>
      <c r="M36" s="50">
        <f t="shared" si="3"/>
        <v>0.21324234811040532</v>
      </c>
      <c r="N36" s="50">
        <f t="shared" si="3"/>
        <v>0.18375817522584881</v>
      </c>
      <c r="O36" s="50">
        <f t="shared" si="3"/>
        <v>0.16281886941175006</v>
      </c>
      <c r="P36" s="50">
        <f t="shared" si="3"/>
        <v>4.2110830218772044E-2</v>
      </c>
      <c r="Q36" s="50">
        <f t="shared" si="3"/>
        <v>3.4283021659752055E-2</v>
      </c>
      <c r="R36" s="50">
        <f t="shared" si="3"/>
        <v>3.3469989136071687E-2</v>
      </c>
    </row>
    <row r="37" spans="3:18" x14ac:dyDescent="0.45">
      <c r="D37" s="2"/>
      <c r="E37" s="2"/>
      <c r="F37" s="2"/>
    </row>
    <row r="38" spans="3:18" x14ac:dyDescent="0.45">
      <c r="C38" s="58" t="s">
        <v>15</v>
      </c>
      <c r="D38" s="59" t="s">
        <v>37</v>
      </c>
      <c r="E38" s="60">
        <v>66.500000000000014</v>
      </c>
      <c r="F38" s="60">
        <v>135.65800000000002</v>
      </c>
      <c r="G38" s="60">
        <v>272.07299999999998</v>
      </c>
      <c r="H38" s="60">
        <v>426.40200000000004</v>
      </c>
      <c r="I38" s="60">
        <v>609.85835849646628</v>
      </c>
      <c r="J38" s="60">
        <v>830.93611559903286</v>
      </c>
      <c r="K38" s="60">
        <v>1045.5100430790865</v>
      </c>
      <c r="L38" s="60">
        <v>1309.519128155958</v>
      </c>
      <c r="M38" s="60">
        <v>1596.8213805228445</v>
      </c>
      <c r="N38" s="60">
        <v>1903.3281625526106</v>
      </c>
      <c r="O38" s="60">
        <v>2210.3611645483297</v>
      </c>
      <c r="P38" s="60">
        <v>2592.5063096743656</v>
      </c>
      <c r="Q38" s="60">
        <v>798.01497672258188</v>
      </c>
      <c r="R38" s="60">
        <v>873.51174768468513</v>
      </c>
    </row>
    <row r="39" spans="3:18" x14ac:dyDescent="0.45">
      <c r="C39" s="61" t="s">
        <v>19</v>
      </c>
      <c r="D39" s="47" t="s">
        <v>2</v>
      </c>
      <c r="E39" s="50" t="str">
        <f>IFERROR(+E38/D38-1,"N/A")</f>
        <v>N/A</v>
      </c>
      <c r="F39" s="50">
        <f t="shared" ref="F39:R39" si="4">IFERROR(+F38/E38-1,"N/A")</f>
        <v>1.0399699248120298</v>
      </c>
      <c r="G39" s="50">
        <f t="shared" si="4"/>
        <v>1.0055802090551236</v>
      </c>
      <c r="H39" s="50">
        <f t="shared" si="4"/>
        <v>0.56723379387149797</v>
      </c>
      <c r="I39" s="50">
        <f>IFERROR(+I38/H38-1,"N/A")</f>
        <v>0.43024272516654749</v>
      </c>
      <c r="J39" s="50">
        <f>IFERROR(+J38/I38-1,"N/A")</f>
        <v>0.36250672639399029</v>
      </c>
      <c r="K39" s="50">
        <f t="shared" si="4"/>
        <v>0.25823155769967276</v>
      </c>
      <c r="L39" s="50">
        <f t="shared" si="4"/>
        <v>0.25251702441743151</v>
      </c>
      <c r="M39" s="50">
        <f t="shared" si="4"/>
        <v>0.21939523156982088</v>
      </c>
      <c r="N39" s="50">
        <f t="shared" si="4"/>
        <v>0.19194806993967428</v>
      </c>
      <c r="O39" s="50">
        <f t="shared" si="4"/>
        <v>0.16131374927166942</v>
      </c>
      <c r="P39" s="50">
        <f t="shared" si="4"/>
        <v>0.17288810139049127</v>
      </c>
      <c r="Q39" s="50">
        <f t="shared" si="4"/>
        <v>-0.69218397897638395</v>
      </c>
      <c r="R39" s="50">
        <f t="shared" si="4"/>
        <v>9.4605706865509953E-2</v>
      </c>
    </row>
    <row r="41" spans="3:18" x14ac:dyDescent="0.45">
      <c r="C41" s="6" t="s">
        <v>38</v>
      </c>
      <c r="D41" s="6" t="s">
        <v>38</v>
      </c>
      <c r="E41" s="6" t="s">
        <v>39</v>
      </c>
      <c r="F41" s="6" t="s">
        <v>40</v>
      </c>
      <c r="G41" s="7"/>
      <c r="H41" s="8" t="s">
        <v>41</v>
      </c>
      <c r="I41" s="9"/>
      <c r="J41" s="7"/>
      <c r="K41" s="6" t="s">
        <v>42</v>
      </c>
      <c r="L41" s="6" t="s">
        <v>43</v>
      </c>
      <c r="M41" s="6"/>
      <c r="N41" s="6" t="s">
        <v>61</v>
      </c>
      <c r="O41" s="6"/>
      <c r="P41" s="64"/>
      <c r="Q41" s="65"/>
      <c r="R41" s="64"/>
    </row>
    <row r="42" spans="3:18" x14ac:dyDescent="0.45">
      <c r="C42" s="14" t="s">
        <v>48</v>
      </c>
      <c r="D42" s="14" t="s">
        <v>5</v>
      </c>
      <c r="E42" s="14" t="s">
        <v>6</v>
      </c>
      <c r="F42" s="14" t="s">
        <v>44</v>
      </c>
      <c r="G42" s="15"/>
      <c r="H42" s="14" t="s">
        <v>45</v>
      </c>
      <c r="I42" s="14" t="s">
        <v>46</v>
      </c>
      <c r="J42" s="15"/>
      <c r="K42" s="14" t="s">
        <v>5</v>
      </c>
      <c r="L42" s="14" t="s">
        <v>47</v>
      </c>
      <c r="M42" s="14"/>
      <c r="N42" s="14" t="s">
        <v>51</v>
      </c>
      <c r="O42" s="14"/>
      <c r="P42" s="64"/>
      <c r="Q42" s="65"/>
      <c r="R42" s="64"/>
    </row>
    <row r="43" spans="3:18" x14ac:dyDescent="0.45">
      <c r="C43" s="16">
        <v>0</v>
      </c>
      <c r="D43" s="17">
        <f>+C43/(1-C43)</f>
        <v>0</v>
      </c>
      <c r="E43" s="18">
        <f t="shared" ref="E43:E52" si="5">+Unlevered_Beta*(1+D43*(1-Tax_Rate))</f>
        <v>1.2</v>
      </c>
      <c r="F43" s="16">
        <v>0.01</v>
      </c>
      <c r="G43" s="19"/>
      <c r="H43" s="17">
        <f t="shared" ref="H43:H52" si="6">+Risk_Free_Rate+F43</f>
        <v>0.05</v>
      </c>
      <c r="I43" s="17">
        <f t="shared" ref="I43:I52" si="7">+H43*(1-Tax_Rate)</f>
        <v>3.7500000000000006E-2</v>
      </c>
      <c r="J43" s="19"/>
      <c r="K43" s="17">
        <f t="shared" ref="K43:K52" si="8">+Risk_Free_Rate+Equity_Risk_Premium*E43</f>
        <v>0.10600000000000001</v>
      </c>
      <c r="L43" s="17">
        <f>+(1-C43)*K43+C43*I43</f>
        <v>0.10600000000000001</v>
      </c>
      <c r="N43" s="20">
        <f>+$I$11/((1+L43)^Num_Years)+NPV(L43,$I$34:$R$34)</f>
        <v>9430.9691681610966</v>
      </c>
    </row>
    <row r="44" spans="3:18" x14ac:dyDescent="0.45">
      <c r="C44" s="17">
        <f>+C43+10%</f>
        <v>0.1</v>
      </c>
      <c r="D44" s="17">
        <f t="shared" ref="D44:D52" si="9">+C44/(1-C44)</f>
        <v>0.11111111111111112</v>
      </c>
      <c r="E44" s="18">
        <f t="shared" si="5"/>
        <v>1.2999999999999998</v>
      </c>
      <c r="F44" s="16">
        <v>1.4999999999999999E-2</v>
      </c>
      <c r="G44" s="19"/>
      <c r="H44" s="17">
        <f t="shared" si="6"/>
        <v>5.5E-2</v>
      </c>
      <c r="I44" s="17">
        <f t="shared" si="7"/>
        <v>4.1250000000000002E-2</v>
      </c>
      <c r="J44" s="19"/>
      <c r="K44" s="17">
        <f t="shared" si="8"/>
        <v>0.11149999999999999</v>
      </c>
      <c r="L44" s="17">
        <f>+(1-C44)*K44+C44*I44</f>
        <v>0.104475</v>
      </c>
      <c r="N44" s="25">
        <f>+$I$11/((1+L44)^Num_Years)+NPV(L44,$I$34:$R$34)</f>
        <v>9525.8846132437357</v>
      </c>
    </row>
    <row r="45" spans="3:18" x14ac:dyDescent="0.45">
      <c r="C45" s="17">
        <f t="shared" ref="C45:C52" si="10">+C44+10%</f>
        <v>0.2</v>
      </c>
      <c r="D45" s="17">
        <f t="shared" si="9"/>
        <v>0.25</v>
      </c>
      <c r="E45" s="18">
        <f t="shared" si="5"/>
        <v>1.425</v>
      </c>
      <c r="F45" s="16">
        <v>0.02</v>
      </c>
      <c r="G45" s="19"/>
      <c r="H45" s="17">
        <f t="shared" si="6"/>
        <v>0.06</v>
      </c>
      <c r="I45" s="17">
        <f t="shared" si="7"/>
        <v>4.4999999999999998E-2</v>
      </c>
      <c r="J45" s="19"/>
      <c r="K45" s="17">
        <f t="shared" si="8"/>
        <v>0.11837500000000001</v>
      </c>
      <c r="L45" s="17">
        <f>+(1-C45)*K45+C45*I45</f>
        <v>0.1037</v>
      </c>
      <c r="N45" s="25">
        <f>+$I$11/((1+L45)^Num_Years)+NPV(L45,$I$34:$R$34)</f>
        <v>9574.5976335594623</v>
      </c>
    </row>
    <row r="46" spans="3:18" x14ac:dyDescent="0.45">
      <c r="C46" s="17">
        <f t="shared" si="10"/>
        <v>0.30000000000000004</v>
      </c>
      <c r="D46" s="17">
        <f t="shared" si="9"/>
        <v>0.42857142857142866</v>
      </c>
      <c r="E46" s="18">
        <f t="shared" si="5"/>
        <v>1.5857142857142859</v>
      </c>
      <c r="F46" s="16">
        <v>2.5000000000000001E-2</v>
      </c>
      <c r="G46" s="19"/>
      <c r="H46" s="17">
        <f t="shared" si="6"/>
        <v>6.5000000000000002E-2</v>
      </c>
      <c r="I46" s="17">
        <f t="shared" si="7"/>
        <v>4.8750000000000002E-2</v>
      </c>
      <c r="J46" s="19"/>
      <c r="K46" s="17">
        <f t="shared" si="8"/>
        <v>0.12721428571428572</v>
      </c>
      <c r="L46" s="17">
        <f>+(1-C46)*K46+C46*I46</f>
        <v>0.103675</v>
      </c>
      <c r="N46" s="25">
        <f>+$I$11/((1+L46)^Num_Years)+NPV(L46,$I$34:$R$34)</f>
        <v>9576.1744181002432</v>
      </c>
    </row>
    <row r="47" spans="3:18" x14ac:dyDescent="0.45">
      <c r="C47" s="17">
        <f t="shared" si="10"/>
        <v>0.4</v>
      </c>
      <c r="D47" s="17">
        <f t="shared" si="9"/>
        <v>0.66666666666666674</v>
      </c>
      <c r="E47" s="18">
        <f t="shared" si="5"/>
        <v>1.7999999999999998</v>
      </c>
      <c r="F47" s="16">
        <v>0.05</v>
      </c>
      <c r="G47" s="19"/>
      <c r="H47" s="17">
        <f t="shared" si="6"/>
        <v>0.09</v>
      </c>
      <c r="I47" s="17">
        <f t="shared" si="7"/>
        <v>6.7500000000000004E-2</v>
      </c>
      <c r="J47" s="19"/>
      <c r="K47" s="17">
        <f t="shared" si="8"/>
        <v>0.13899999999999998</v>
      </c>
      <c r="L47" s="17">
        <f>+(1-C47)*K47+C47*I47</f>
        <v>0.1104</v>
      </c>
      <c r="N47" s="25">
        <f>+$I$11/((1+L47)^Num_Years)+NPV(L47,$I$34:$R$34)</f>
        <v>9163.9430517133587</v>
      </c>
    </row>
    <row r="48" spans="3:18" x14ac:dyDescent="0.45">
      <c r="C48" s="17">
        <f t="shared" si="10"/>
        <v>0.5</v>
      </c>
      <c r="D48" s="17">
        <f t="shared" si="9"/>
        <v>1</v>
      </c>
      <c r="E48" s="18">
        <f t="shared" si="5"/>
        <v>2.1</v>
      </c>
      <c r="F48" s="16">
        <v>0.06</v>
      </c>
      <c r="G48" s="19"/>
      <c r="H48" s="17">
        <f t="shared" si="6"/>
        <v>0.1</v>
      </c>
      <c r="I48" s="17">
        <f t="shared" si="7"/>
        <v>7.5000000000000011E-2</v>
      </c>
      <c r="J48" s="19"/>
      <c r="K48" s="17">
        <f t="shared" si="8"/>
        <v>0.1555</v>
      </c>
      <c r="L48" s="17">
        <f>+(1-C48)*K48+C48*I48</f>
        <v>0.11525000000000001</v>
      </c>
      <c r="N48" s="25">
        <f>+$I$11/((1+L48)^Num_Years)+NPV(L48,$I$34:$R$34)</f>
        <v>8880.9490047942545</v>
      </c>
    </row>
    <row r="49" spans="3:14" x14ac:dyDescent="0.45">
      <c r="C49" s="17">
        <f t="shared" si="10"/>
        <v>0.6</v>
      </c>
      <c r="D49" s="17">
        <f t="shared" si="9"/>
        <v>1.4999999999999998</v>
      </c>
      <c r="E49" s="18">
        <f t="shared" si="5"/>
        <v>2.5499999999999998</v>
      </c>
      <c r="F49" s="16">
        <v>7.0000000000000007E-2</v>
      </c>
      <c r="G49" s="19"/>
      <c r="H49" s="17">
        <f t="shared" si="6"/>
        <v>0.11000000000000001</v>
      </c>
      <c r="I49" s="17">
        <f t="shared" si="7"/>
        <v>8.2500000000000018E-2</v>
      </c>
      <c r="J49" s="19"/>
      <c r="K49" s="17">
        <f t="shared" si="8"/>
        <v>0.18024999999999999</v>
      </c>
      <c r="L49" s="17">
        <f>+(1-C49)*K49+C49*I49</f>
        <v>0.12160000000000001</v>
      </c>
      <c r="N49" s="25">
        <f>+$I$11/((1+L49)^Num_Years)+NPV(L49,$I$34:$R$34)</f>
        <v>8527.5152781237721</v>
      </c>
    </row>
    <row r="50" spans="3:14" x14ac:dyDescent="0.45">
      <c r="C50" s="17">
        <f t="shared" si="10"/>
        <v>0.7</v>
      </c>
      <c r="D50" s="17">
        <f t="shared" si="9"/>
        <v>2.333333333333333</v>
      </c>
      <c r="E50" s="18">
        <f t="shared" si="5"/>
        <v>3.3</v>
      </c>
      <c r="F50" s="16">
        <v>0.08</v>
      </c>
      <c r="G50" s="19"/>
      <c r="H50" s="17">
        <f t="shared" si="6"/>
        <v>0.12</v>
      </c>
      <c r="I50" s="17">
        <f t="shared" si="7"/>
        <v>0.09</v>
      </c>
      <c r="J50" s="19"/>
      <c r="K50" s="17">
        <f t="shared" si="8"/>
        <v>0.2215</v>
      </c>
      <c r="L50" s="17">
        <f>+(1-C50)*K50+C50*I50</f>
        <v>0.12945000000000001</v>
      </c>
      <c r="N50" s="25">
        <f>+$I$11/((1+L50)^Num_Years)+NPV(L50,$I$34:$R$34)</f>
        <v>8115.7628232326069</v>
      </c>
    </row>
    <row r="51" spans="3:14" x14ac:dyDescent="0.45">
      <c r="C51" s="17">
        <f t="shared" si="10"/>
        <v>0.79999999999999993</v>
      </c>
      <c r="D51" s="17">
        <f t="shared" si="9"/>
        <v>3.9999999999999982</v>
      </c>
      <c r="E51" s="18">
        <f t="shared" si="5"/>
        <v>4.799999999999998</v>
      </c>
      <c r="F51" s="16">
        <v>0.09</v>
      </c>
      <c r="G51" s="19"/>
      <c r="H51" s="17">
        <f t="shared" si="6"/>
        <v>0.13</v>
      </c>
      <c r="I51" s="17">
        <f t="shared" si="7"/>
        <v>9.7500000000000003E-2</v>
      </c>
      <c r="J51" s="19"/>
      <c r="K51" s="17">
        <f t="shared" si="8"/>
        <v>0.30399999999999988</v>
      </c>
      <c r="L51" s="17">
        <f>+(1-C51)*K51+C51*I51</f>
        <v>0.13880000000000001</v>
      </c>
      <c r="N51" s="25">
        <f>+$I$11/((1+L51)^Num_Years)+NPV(L51,$I$34:$R$34)</f>
        <v>7658.9895611913835</v>
      </c>
    </row>
    <row r="52" spans="3:14" x14ac:dyDescent="0.45">
      <c r="C52" s="17">
        <f t="shared" si="10"/>
        <v>0.89999999999999991</v>
      </c>
      <c r="D52" s="17">
        <f t="shared" si="9"/>
        <v>8.9999999999999911</v>
      </c>
      <c r="E52" s="18">
        <f t="shared" si="5"/>
        <v>9.2999999999999918</v>
      </c>
      <c r="F52" s="16">
        <v>0.1</v>
      </c>
      <c r="G52" s="19"/>
      <c r="H52" s="17">
        <f t="shared" si="6"/>
        <v>0.14000000000000001</v>
      </c>
      <c r="I52" s="17">
        <f t="shared" si="7"/>
        <v>0.10500000000000001</v>
      </c>
      <c r="J52" s="19"/>
      <c r="K52" s="17">
        <f t="shared" si="8"/>
        <v>0.55149999999999955</v>
      </c>
      <c r="L52" s="17">
        <f>+(1-C52)*K52+C52*I52</f>
        <v>0.14965000000000001</v>
      </c>
      <c r="N52" s="25">
        <f>+$I$11/((1+L52)^Num_Years)+NPV(L52,$I$34:$R$34)</f>
        <v>7170.8786812819235</v>
      </c>
    </row>
    <row r="53" spans="3:14" x14ac:dyDescent="0.45">
      <c r="D53" s="2"/>
      <c r="E53" s="2"/>
      <c r="F53" s="2"/>
    </row>
    <row r="54" spans="3:14" x14ac:dyDescent="0.45">
      <c r="D54" s="2"/>
      <c r="E54" s="2"/>
      <c r="F54" s="2"/>
    </row>
    <row r="55" spans="3:14" x14ac:dyDescent="0.45">
      <c r="D55" s="2"/>
      <c r="E55" s="2"/>
      <c r="F55" s="2"/>
    </row>
    <row r="56" spans="3:14" x14ac:dyDescent="0.45">
      <c r="D56" s="2"/>
      <c r="E56" s="2"/>
      <c r="F56" s="2"/>
    </row>
    <row r="57" spans="3:14" x14ac:dyDescent="0.45">
      <c r="D57" s="2"/>
      <c r="E57" s="2"/>
      <c r="F57" s="2"/>
    </row>
    <row r="58" spans="3:14" x14ac:dyDescent="0.45">
      <c r="D58" s="2"/>
      <c r="E58" s="2"/>
      <c r="F58" s="2"/>
    </row>
    <row r="59" spans="3:14" x14ac:dyDescent="0.45">
      <c r="D59" s="2"/>
      <c r="E59" s="2"/>
      <c r="F59" s="2"/>
    </row>
    <row r="60" spans="3:14" x14ac:dyDescent="0.45">
      <c r="D60" s="2"/>
      <c r="E60" s="2"/>
      <c r="F60" s="2"/>
    </row>
    <row r="61" spans="3:14" x14ac:dyDescent="0.45">
      <c r="D61" s="2"/>
      <c r="E61" s="2"/>
      <c r="F61" s="2"/>
    </row>
    <row r="62" spans="3:14" x14ac:dyDescent="0.45">
      <c r="D62" s="2"/>
      <c r="E62" s="2"/>
      <c r="F62" s="2"/>
    </row>
    <row r="63" spans="3:14" x14ac:dyDescent="0.45">
      <c r="D63" s="2"/>
      <c r="E63" s="2"/>
      <c r="F63" s="2"/>
    </row>
    <row r="64" spans="3:14" x14ac:dyDescent="0.45">
      <c r="D64" s="2"/>
      <c r="E64" s="2"/>
      <c r="F64" s="2"/>
    </row>
    <row r="65" s="2" customFormat="1" x14ac:dyDescent="0.45"/>
    <row r="66" s="2" customFormat="1" x14ac:dyDescent="0.45"/>
    <row r="67" s="2" customFormat="1" x14ac:dyDescent="0.45"/>
    <row r="68" s="2" customFormat="1" x14ac:dyDescent="0.45"/>
    <row r="69" s="2" customFormat="1" x14ac:dyDescent="0.45"/>
    <row r="70" s="2" customFormat="1" x14ac:dyDescent="0.45"/>
    <row r="71" s="2" customFormat="1" x14ac:dyDescent="0.45"/>
    <row r="72" s="2" customFormat="1" x14ac:dyDescent="0.45"/>
    <row r="73" s="2" customFormat="1" x14ac:dyDescent="0.45"/>
    <row r="74" s="2" customFormat="1" x14ac:dyDescent="0.45"/>
    <row r="75" s="2" customFormat="1" x14ac:dyDescent="0.45"/>
    <row r="76" s="2" customFormat="1" x14ac:dyDescent="0.45"/>
    <row r="77" s="2" customFormat="1" x14ac:dyDescent="0.45"/>
    <row r="78" s="2" customFormat="1" x14ac:dyDescent="0.45"/>
  </sheetData>
  <dataValidations count="1">
    <dataValidation type="list" allowBlank="1" showInputMessage="1" showErrorMessage="1" sqref="D16" xr:uid="{00000000-0002-0000-0000-000000000000}">
      <formula1>$C$43:$C$52</formula1>
    </dataValidation>
  </dataValidations>
  <pageMargins left="0.7" right="0.7" top="0.75" bottom="0.75" header="0.3" footer="0.3"/>
  <pageSetup scale="37" orientation="portrait" r:id="rId1"/>
  <colBreaks count="1" manualBreakCount="1">
    <brk id="19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Debt_Equity_Enterprise_Value</vt:lpstr>
      <vt:lpstr>Discount_Rate</vt:lpstr>
      <vt:lpstr>Equity_Risk_Premium</vt:lpstr>
      <vt:lpstr>Num_Years</vt:lpstr>
      <vt:lpstr>Debt_Equity_Enterprise_Value!Print_Area</vt:lpstr>
      <vt:lpstr>Risk_Free_Rate</vt:lpstr>
      <vt:lpstr>Tax_Rate</vt:lpstr>
      <vt:lpstr>Terminal_Growth_Rate</vt:lpstr>
      <vt:lpstr>Terminal_Multiple</vt:lpstr>
      <vt:lpstr>Unlevered_Beta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cp:lastPrinted>2014-08-21T11:35:06Z</cp:lastPrinted>
  <dcterms:created xsi:type="dcterms:W3CDTF">2014-03-07T00:48:59Z</dcterms:created>
  <dcterms:modified xsi:type="dcterms:W3CDTF">2025-10-22T12:16:13Z</dcterms:modified>
</cp:coreProperties>
</file>