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107-Valuation-Discounted-Cash-Flow\107-33-Cost-of-Equity\"/>
    </mc:Choice>
  </mc:AlternateContent>
  <xr:revisionPtr revIDLastSave="0" documentId="13_ncr:1_{17F2FC5B-407D-466E-A408-878D270BBAAE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Cost_of_Equity" sheetId="22" r:id="rId1"/>
    <sheet name="WES_WACC" sheetId="16" r:id="rId2"/>
    <sheet name="STLD_WACC" sheetId="23" r:id="rId3"/>
  </sheets>
  <definedNames>
    <definedName name="CIQWBGuid" hidden="1">"fedf60f8-2cd9-49ba-9fee-91fc372c3a0f"</definedName>
    <definedName name="Cost_of_Debt">WES_WACC!$E$10</definedName>
    <definedName name="Cost_of_Equity">WES_WACC!$K$36</definedName>
    <definedName name="Cost_of_Preferred">WES_WACC!$E$11</definedName>
    <definedName name="ERP">WES_WACC!$E$9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"08/30/2015 13:55:30"</definedName>
    <definedName name="IQ_QTD" hidden="1">750000</definedName>
    <definedName name="IQ_TODAY" hidden="1">0</definedName>
    <definedName name="IQ_YTDMONTH" hidden="1">130000</definedName>
    <definedName name="_xlnm.Print_Area" localSheetId="0">Cost_of_Equity!$A$1:$K$30</definedName>
    <definedName name="_xlnm.Print_Area" localSheetId="2">STLD_WACC!$A$1:$L$42</definedName>
    <definedName name="_xlnm.Print_Area" localSheetId="1">WES_WACC!$A$1:$L$43</definedName>
    <definedName name="RFR">WES_WACC!$E$8</definedName>
    <definedName name="Tax_Rate">WES_WACC!$E$7</definedName>
    <definedName name="Val_Date">WES_WACC!$E$6</definedName>
  </definedNames>
  <calcPr calcId="191029" calcMode="autoNoTable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6" l="1"/>
  <c r="I21" i="22"/>
  <c r="H21" i="22"/>
  <c r="E14" i="22"/>
  <c r="D14" i="22"/>
  <c r="F14" i="22"/>
  <c r="F13" i="22"/>
  <c r="E13" i="22"/>
  <c r="D13" i="22"/>
  <c r="F12" i="22"/>
  <c r="E12" i="22"/>
  <c r="E21" i="22" s="1"/>
  <c r="D12" i="22"/>
  <c r="D21" i="22" s="1"/>
  <c r="E10" i="23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F21" i="22" l="1"/>
  <c r="K35" i="23"/>
  <c r="E9" i="23"/>
  <c r="J31" i="23"/>
  <c r="D30" i="23"/>
  <c r="K17" i="23"/>
  <c r="G18" i="23" l="1"/>
  <c r="I19" i="23"/>
  <c r="E21" i="23"/>
  <c r="H23" i="23"/>
  <c r="I20" i="23"/>
  <c r="E20" i="23"/>
  <c r="G20" i="23"/>
  <c r="K20" i="23"/>
  <c r="K18" i="23" l="1"/>
  <c r="E18" i="23"/>
  <c r="G16" i="23"/>
  <c r="I16" i="23"/>
  <c r="E16" i="23"/>
  <c r="I18" i="23"/>
  <c r="E19" i="23"/>
  <c r="G21" i="23"/>
  <c r="K21" i="23"/>
  <c r="I21" i="23"/>
  <c r="I23" i="23" s="1"/>
  <c r="I31" i="23" s="1"/>
  <c r="E17" i="23"/>
  <c r="K19" i="23"/>
  <c r="I30" i="23"/>
  <c r="J23" i="23"/>
  <c r="E30" i="23"/>
  <c r="C23" i="23"/>
  <c r="K16" i="23"/>
  <c r="G19" i="23"/>
  <c r="D23" i="23"/>
  <c r="G30" i="23"/>
  <c r="I17" i="23"/>
  <c r="G17" i="23"/>
  <c r="F23" i="23"/>
  <c r="K39" i="23" l="1"/>
  <c r="E23" i="23"/>
  <c r="G23" i="23"/>
  <c r="G31" i="23" s="1"/>
  <c r="F31" i="23" s="1"/>
  <c r="K23" i="23"/>
  <c r="H31" i="23"/>
  <c r="E31" i="23" l="1"/>
  <c r="D31" i="23" s="1"/>
  <c r="C30" i="23"/>
  <c r="K30" i="23" s="1"/>
  <c r="K33" i="23" s="1"/>
  <c r="K37" i="23" s="1"/>
  <c r="C31" i="23"/>
  <c r="K31" i="23" s="1"/>
  <c r="K34" i="23" s="1"/>
  <c r="K38" i="23" s="1"/>
  <c r="P8" i="16"/>
  <c r="Q8" i="16" s="1"/>
  <c r="K41" i="23" l="1"/>
  <c r="P20" i="16"/>
  <c r="O20" i="16" s="1"/>
  <c r="Q20" i="16"/>
  <c r="E10" i="16" l="1"/>
  <c r="E20" i="16"/>
  <c r="E18" i="16" l="1"/>
  <c r="E19" i="16"/>
  <c r="K19" i="16"/>
  <c r="K18" i="16"/>
  <c r="K20" i="16"/>
  <c r="E17" i="16"/>
  <c r="G18" i="16"/>
  <c r="G17" i="16"/>
  <c r="G19" i="16"/>
  <c r="G20" i="16"/>
  <c r="I17" i="16"/>
  <c r="I18" i="16"/>
  <c r="I19" i="16"/>
  <c r="K17" i="16"/>
  <c r="I20" i="16"/>
  <c r="I16" i="16"/>
  <c r="E16" i="16" l="1"/>
  <c r="K16" i="16"/>
  <c r="G16" i="16"/>
  <c r="K34" i="16" l="1"/>
  <c r="C22" i="16" l="1"/>
  <c r="J22" i="16"/>
  <c r="D22" i="16" l="1"/>
  <c r="H22" i="16"/>
  <c r="I22" i="16"/>
  <c r="I30" i="16" s="1"/>
  <c r="F22" i="16"/>
  <c r="G22" i="16" l="1"/>
  <c r="G30" i="16" s="1"/>
  <c r="E22" i="16"/>
  <c r="K22" i="16"/>
  <c r="C30" i="16" l="1"/>
  <c r="C29" i="16"/>
  <c r="E30" i="16"/>
  <c r="E29" i="16" l="1"/>
  <c r="G29" i="16"/>
  <c r="I29" i="16"/>
  <c r="H30" i="16"/>
  <c r="F30" i="16"/>
  <c r="D30" i="16"/>
  <c r="K32" i="16"/>
  <c r="K30" i="16" l="1"/>
  <c r="K33" i="16" s="1"/>
  <c r="K39" i="16" s="1"/>
  <c r="K40" i="16"/>
  <c r="K38" i="16"/>
  <c r="K42" i="16" l="1"/>
  <c r="K3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BIWS</author>
  </authors>
  <commentList>
    <comment ref="E7" authorId="0" shapeId="0" xr:uid="{4CC8BD42-D610-40D8-ACCD-B3A192770718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Taking the highest of the past 3 years' numbers (0%, 0%, and 1%). It's near-0 due to the MLP structure.</t>
        </r>
      </text>
    </comment>
    <comment ref="E8" authorId="0" shapeId="0" xr:uid="{A604947E-30C2-4038-B857-A2371E7769CE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10-year UST yield on valuation date of 2025-03-31.</t>
        </r>
      </text>
    </comment>
    <comment ref="E9" authorId="0" shapeId="0" xr:uid="{5E1EEC4E-C0B8-4805-BBA0-A49BCBE69F0E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Average ERP at the time of the valuation.</t>
        </r>
      </text>
    </comment>
    <comment ref="E10" authorId="0" shapeId="0" xr:uid="{DD054AB5-FDFC-4048-9E5E-86B8F5110882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Based on weighted average YTM of current bond issuances.</t>
        </r>
      </text>
    </comment>
    <comment ref="E11" authorId="0" shapeId="0" xr:uid="{99B4B1FA-3EE9-432B-BF6B-38C19D1D0E9F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Averaging the approximate Cost of Preferred for the 3 public comps with Preferred.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BIWS</author>
    <author>Brian DeChesare</author>
  </authors>
  <commentList>
    <comment ref="E7" authorId="0" shapeId="0" xr:uid="{71488354-833D-4BE6-B9D2-60B30258D940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10-year UST yield on valuation date of 2025-03-31.</t>
        </r>
      </text>
    </comment>
    <comment ref="E8" authorId="0" shapeId="0" xr:uid="{9E9FD3EE-724E-4B07-B90C-1663F5F1CAD0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Average ERP at the time of the valuation.</t>
        </r>
      </text>
    </comment>
    <comment ref="E9" authorId="1" shapeId="0" xr:uid="{279C8AD5-6A9E-471A-8E02-B6388D4EDCE7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Estimating the weighted avg. maturity date based on pg. 69 of 10-K.</t>
        </r>
      </text>
    </comment>
    <comment ref="J21" authorId="0" shapeId="0" xr:uid="{10908A41-E251-4F2B-9F52-7601BC3776C2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Pre-Tax Loss; using the Benefit / Pre-Tax Loss.</t>
        </r>
      </text>
    </comment>
  </commentList>
</comments>
</file>

<file path=xl/sharedStrings.xml><?xml version="1.0" encoding="utf-8"?>
<sst xmlns="http://schemas.openxmlformats.org/spreadsheetml/2006/main" count="174" uniqueCount="90">
  <si>
    <t>Date</t>
  </si>
  <si>
    <t>Risk-Free Rate:</t>
  </si>
  <si>
    <t>Equity Risk Premium:</t>
  </si>
  <si>
    <t>Name</t>
  </si>
  <si>
    <t>%</t>
  </si>
  <si>
    <t>Units:</t>
  </si>
  <si>
    <t>$ M</t>
  </si>
  <si>
    <t>Valuation Date:</t>
  </si>
  <si>
    <t>Western Midstream Partners, LP</t>
  </si>
  <si>
    <t>Pre-Tax Cost of Debt:</t>
  </si>
  <si>
    <t>Cost of Preferred Stock:</t>
  </si>
  <si>
    <t>Comparable Companies - Unlevered Beta Calculation:</t>
  </si>
  <si>
    <t>Levered</t>
  </si>
  <si>
    <t>Preferred</t>
  </si>
  <si>
    <t>Equity</t>
  </si>
  <si>
    <t>Unlevered</t>
  </si>
  <si>
    <t>Beta</t>
  </si>
  <si>
    <t>Debt</t>
  </si>
  <si>
    <t>% Debt</t>
  </si>
  <si>
    <t>% Preferred</t>
  </si>
  <si>
    <t>Value</t>
  </si>
  <si>
    <t>% Equity</t>
  </si>
  <si>
    <t>Tax Rate</t>
  </si>
  <si>
    <t>Median:</t>
  </si>
  <si>
    <t>Current Capital Structure:</t>
  </si>
  <si>
    <t>"Optimal" Capital Structure:</t>
  </si>
  <si>
    <t>Cost of Equity Based on Comparables, Current Capital Structure:</t>
  </si>
  <si>
    <t>Cost of Equity Based on Comparables, "Optimal" Capital Structure:</t>
  </si>
  <si>
    <t>Cost of Equity Based on Historical Beta:</t>
  </si>
  <si>
    <t>WACC, Current Capital Structure:</t>
  </si>
  <si>
    <t>WACC, "Optimal" Capital Structure:</t>
  </si>
  <si>
    <t>WACC, Current Capital Structure and Historical Cost of Equity:</t>
  </si>
  <si>
    <t>Average WACC Produced by All Methods:</t>
  </si>
  <si>
    <t>Company Name</t>
  </si>
  <si>
    <t>($ in Millions USD Except Per Share Amounts in USD as Stated and Per Unit Figures)</t>
  </si>
  <si>
    <t>Cheniere Energy Partners, L.P.</t>
  </si>
  <si>
    <t>Plains All American Pipeline, L.P.</t>
  </si>
  <si>
    <t>Hess Midstream LP</t>
  </si>
  <si>
    <t>Genesis Energy, L.P.</t>
  </si>
  <si>
    <t>NGL Energy Partners LP</t>
  </si>
  <si>
    <t>Maturity:</t>
  </si>
  <si>
    <t>Principal:</t>
  </si>
  <si>
    <t>YTM:</t>
  </si>
  <si>
    <t>Coupon:</t>
  </si>
  <si>
    <t>TOTAL:</t>
  </si>
  <si>
    <t>Average Cost of Equity Produced by All Methods:</t>
  </si>
  <si>
    <t>Cost of Debt Calculations:</t>
  </si>
  <si>
    <t>WACC Analysis - Western Midstream Partners, LP</t>
  </si>
  <si>
    <t>Re-Levered Beta Calculations:</t>
  </si>
  <si>
    <t>Tax Rate:</t>
  </si>
  <si>
    <t>Assumptions:</t>
  </si>
  <si>
    <t>After-Tax Cost of Debt:</t>
  </si>
  <si>
    <t>Stock</t>
  </si>
  <si>
    <t>Nucor Corporation</t>
  </si>
  <si>
    <t>Cleveland-Cliffs Inc.</t>
  </si>
  <si>
    <t>United States Steel Corp.</t>
  </si>
  <si>
    <t>Commercial Metals Company</t>
  </si>
  <si>
    <t>Carpenter Technology Corporation</t>
  </si>
  <si>
    <t>Radius Recycling, Inc.</t>
  </si>
  <si>
    <t>WACC Analysis - Steel Dynamics Inc.</t>
  </si>
  <si>
    <t>Steel Dynamics Inc.</t>
  </si>
  <si>
    <t>Fair Value:</t>
  </si>
  <si>
    <t>Levered Beta:</t>
  </si>
  <si>
    <t>Cost of Equity:</t>
  </si>
  <si>
    <t>Current</t>
  </si>
  <si>
    <t>Capital</t>
  </si>
  <si>
    <t>Re-Levered Beta from</t>
  </si>
  <si>
    <t>Public Comps and…</t>
  </si>
  <si>
    <t>Historical</t>
  </si>
  <si>
    <t>Beta and…</t>
  </si>
  <si>
    <t>Comps'</t>
  </si>
  <si>
    <t>Projected Net Income:</t>
  </si>
  <si>
    <t>Projected Dividend Yield:</t>
  </si>
  <si>
    <t>Projected Dividend Growth Rate:</t>
  </si>
  <si>
    <t>Current Equity Value:</t>
  </si>
  <si>
    <t>#</t>
  </si>
  <si>
    <t>Dividend</t>
  </si>
  <si>
    <t>Method:</t>
  </si>
  <si>
    <t>Net Income</t>
  </si>
  <si>
    <t>Method Comparison:</t>
  </si>
  <si>
    <t>Assumption:</t>
  </si>
  <si>
    <t>What Does the Cost of Equity Mean?</t>
  </si>
  <si>
    <r>
      <t xml:space="preserve">It represents the cost of issuing </t>
    </r>
    <r>
      <rPr>
        <i/>
        <sz val="12"/>
        <color theme="1"/>
        <rFont val="Calibri"/>
        <family val="2"/>
        <scheme val="minor"/>
      </rPr>
      <t>additional</t>
    </r>
    <r>
      <rPr>
        <sz val="12"/>
        <color theme="1"/>
        <rFont val="Calibri"/>
        <family val="2"/>
        <scheme val="minor"/>
      </rPr>
      <t xml:space="preserve"> Common Stock, including both the cash costs (i.e., Dividends) and the stock-price appreciation, as</t>
    </r>
  </si>
  <si>
    <r>
      <t xml:space="preserve">these gains will be lost to the current/existing investors due to the </t>
    </r>
    <r>
      <rPr>
        <b/>
        <sz val="12"/>
        <color theme="1"/>
        <rFont val="Calibri"/>
        <family val="2"/>
        <scheme val="minor"/>
      </rPr>
      <t xml:space="preserve">dilution </t>
    </r>
    <r>
      <rPr>
        <sz val="12"/>
        <color theme="1"/>
        <rFont val="Calibri"/>
        <family val="2"/>
        <scheme val="minor"/>
      </rPr>
      <t>from the issuance.</t>
    </r>
  </si>
  <si>
    <r>
      <t xml:space="preserve">Remember that corporate valuation is always done from the perspective of the </t>
    </r>
    <r>
      <rPr>
        <b/>
        <sz val="12"/>
        <color theme="1"/>
        <rFont val="Calibri"/>
        <family val="2"/>
        <scheme val="minor"/>
      </rPr>
      <t>company's investors</t>
    </r>
    <r>
      <rPr>
        <sz val="12"/>
        <color theme="1"/>
        <rFont val="Calibri"/>
        <family val="2"/>
        <scheme val="minor"/>
      </rPr>
      <t>, not the management team. So, this dilution</t>
    </r>
  </si>
  <si>
    <r>
      <t xml:space="preserve">may not "cost" the team anything in cash terms, but it </t>
    </r>
    <r>
      <rPr>
        <i/>
        <sz val="12"/>
        <color theme="1"/>
        <rFont val="Calibri"/>
        <family val="2"/>
        <scheme val="minor"/>
      </rPr>
      <t>does</t>
    </r>
    <r>
      <rPr>
        <sz val="12"/>
        <color theme="1"/>
        <rFont val="Calibri"/>
        <family val="2"/>
        <scheme val="minor"/>
      </rPr>
      <t xml:space="preserve"> affect the investors, and it makes the company's business more expensive to fund.</t>
    </r>
  </si>
  <si>
    <t>Structure:</t>
  </si>
  <si>
    <t>"Yield"</t>
  </si>
  <si>
    <t>Growth</t>
  </si>
  <si>
    <t>Cost of Equity Comparisons - Different Calculation Methods (Western Midstream Partners, 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</si>
</sst>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3" formatCode="_(* #,##0.00_);_(* \(#,##0.00\);_(* &quot;-&quot;??_);_(@_)"/>
    <numFmt numFmtId="164" formatCode="_(&quot;$&quot;* #,##0.0_);_(&quot;$&quot;* \(#,##0.0\);_(&quot;$&quot;* &quot;-&quot;?_);_(@_)"/>
    <numFmt numFmtId="165" formatCode="0.0%;\(0.0%\)"/>
    <numFmt numFmtId="166" formatCode="_(* #,##0.0_);_(* \(#,##0.0\);_(* &quot;-&quot;?_);_(@_)"/>
    <numFmt numFmtId="167" formatCode="yyyy\-mm\-dd"/>
    <numFmt numFmtId="168" formatCode="0.0%"/>
    <numFmt numFmtId="169" formatCode="_(0.0%_);\(0.0%\);_(&quot;–&quot;_)_%;_(@_)_%"/>
    <numFmt numFmtId="170" formatCode="0.00%_);\(0.00%\);\-_%_);@_)"/>
    <numFmt numFmtId="171" formatCode="0.00%;\(0.00%\)"/>
    <numFmt numFmtId="172" formatCode="_(0.00%_);\(0.00%\);_(&quot;–&quot;_)_%;_(@_)_%"/>
    <numFmt numFmtId="173" formatCode="_(#,##0.00_)_%;\(#,##0.00\)_%;_(&quot;–&quot;_)_%;_(@_)_%"/>
    <numFmt numFmtId="174" formatCode="_(#,##0.00_);\(#,##0.00\);_(&quot;–&quot;_);_(@_)"/>
    <numFmt numFmtId="175" formatCode="0.00000000000000%"/>
    <numFmt numFmtId="176" formatCode="0.00_);\(0.00\)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FF"/>
      <name val="Calibri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sz val="12"/>
      <color rgb="FF00B05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EEBF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3" fillId="0" borderId="0"/>
    <xf numFmtId="0" fontId="6" fillId="2" borderId="3" applyNumberFormat="0" applyFont="0" applyAlignment="0" applyProtection="0"/>
    <xf numFmtId="0" fontId="6" fillId="0" borderId="0"/>
    <xf numFmtId="0" fontId="6" fillId="0" borderId="0"/>
    <xf numFmtId="0" fontId="11" fillId="0" borderId="0" applyAlignment="0"/>
    <xf numFmtId="0" fontId="6" fillId="0" borderId="0"/>
    <xf numFmtId="0" fontId="2" fillId="0" borderId="0"/>
    <xf numFmtId="0" fontId="26" fillId="0" borderId="0"/>
  </cellStyleXfs>
  <cellXfs count="110">
    <xf numFmtId="0" fontId="0" fillId="0" borderId="0" xfId="0"/>
    <xf numFmtId="0" fontId="7" fillId="0" borderId="0" xfId="1" applyFont="1"/>
    <xf numFmtId="166" fontId="7" fillId="0" borderId="0" xfId="1" applyNumberFormat="1" applyFont="1"/>
    <xf numFmtId="0" fontId="7" fillId="0" borderId="0" xfId="1" applyFont="1" applyAlignment="1">
      <alignment horizontal="left" indent="1"/>
    </xf>
    <xf numFmtId="167" fontId="14" fillId="3" borderId="3" xfId="0" applyNumberFormat="1" applyFont="1" applyFill="1" applyBorder="1" applyAlignment="1">
      <alignment horizontal="center"/>
    </xf>
    <xf numFmtId="0" fontId="15" fillId="0" borderId="0" xfId="1" applyFont="1" applyAlignment="1">
      <alignment horizontal="center"/>
    </xf>
    <xf numFmtId="0" fontId="16" fillId="4" borderId="2" xfId="1" applyFont="1" applyFill="1" applyBorder="1" applyAlignment="1">
      <alignment horizontal="center"/>
    </xf>
    <xf numFmtId="165" fontId="8" fillId="3" borderId="3" xfId="2" applyNumberFormat="1" applyFont="1" applyFill="1" applyAlignment="1">
      <alignment horizontal="center"/>
    </xf>
    <xf numFmtId="0" fontId="13" fillId="0" borderId="0" xfId="1" applyFont="1"/>
    <xf numFmtId="0" fontId="13" fillId="0" borderId="0" xfId="0" applyFont="1"/>
    <xf numFmtId="0" fontId="1" fillId="0" borderId="0" xfId="0" applyFont="1"/>
    <xf numFmtId="166" fontId="8" fillId="0" borderId="0" xfId="1" applyNumberFormat="1" applyFont="1"/>
    <xf numFmtId="0" fontId="17" fillId="0" borderId="0" xfId="0" applyFont="1" applyAlignment="1">
      <alignment horizontal="center"/>
    </xf>
    <xf numFmtId="43" fontId="1" fillId="0" borderId="0" xfId="0" applyNumberFormat="1" applyFont="1"/>
    <xf numFmtId="0" fontId="1" fillId="0" borderId="0" xfId="0" applyFont="1" applyAlignment="1">
      <alignment horizontal="left" indent="1"/>
    </xf>
    <xf numFmtId="0" fontId="12" fillId="0" borderId="1" xfId="0" applyFont="1" applyBorder="1"/>
    <xf numFmtId="166" fontId="12" fillId="0" borderId="1" xfId="0" applyNumberFormat="1" applyFont="1" applyBorder="1"/>
    <xf numFmtId="0" fontId="7" fillId="0" borderId="1" xfId="1" applyFont="1" applyBorder="1"/>
    <xf numFmtId="0" fontId="19" fillId="0" borderId="0" xfId="0" applyFont="1"/>
    <xf numFmtId="0" fontId="20" fillId="4" borderId="2" xfId="0" applyFont="1" applyFill="1" applyBorder="1"/>
    <xf numFmtId="0" fontId="21" fillId="4" borderId="2" xfId="0" applyFont="1" applyFill="1" applyBorder="1"/>
    <xf numFmtId="0" fontId="21" fillId="0" borderId="0" xfId="0" applyFont="1"/>
    <xf numFmtId="172" fontId="8" fillId="3" borderId="4" xfId="0" applyNumberFormat="1" applyFont="1" applyFill="1" applyBorder="1" applyAlignment="1">
      <alignment horizontal="center"/>
    </xf>
    <xf numFmtId="172" fontId="22" fillId="0" borderId="0" xfId="0" applyNumberFormat="1" applyFont="1"/>
    <xf numFmtId="172" fontId="7" fillId="3" borderId="4" xfId="0" applyNumberFormat="1" applyFont="1" applyFill="1" applyBorder="1" applyAlignment="1">
      <alignment horizontal="center"/>
    </xf>
    <xf numFmtId="0" fontId="18" fillId="0" borderId="0" xfId="0" applyFont="1"/>
    <xf numFmtId="0" fontId="23" fillId="4" borderId="0" xfId="1" applyFont="1" applyFill="1"/>
    <xf numFmtId="0" fontId="23" fillId="4" borderId="0" xfId="1" applyFont="1" applyFill="1" applyAlignment="1">
      <alignment horizontal="center"/>
    </xf>
    <xf numFmtId="0" fontId="23" fillId="4" borderId="2" xfId="1" applyFont="1" applyFill="1" applyBorder="1"/>
    <xf numFmtId="0" fontId="23" fillId="4" borderId="2" xfId="1" applyFont="1" applyFill="1" applyBorder="1" applyAlignment="1">
      <alignment horizontal="center"/>
    </xf>
    <xf numFmtId="169" fontId="24" fillId="0" borderId="0" xfId="0" applyNumberFormat="1" applyFont="1"/>
    <xf numFmtId="174" fontId="1" fillId="0" borderId="0" xfId="0" applyNumberFormat="1" applyFont="1" applyAlignment="1">
      <alignment horizontal="center"/>
    </xf>
    <xf numFmtId="0" fontId="9" fillId="6" borderId="12" xfId="1" applyFont="1" applyFill="1" applyBorder="1" applyAlignment="1">
      <alignment horizontal="left"/>
    </xf>
    <xf numFmtId="173" fontId="9" fillId="6" borderId="5" xfId="1" applyNumberFormat="1" applyFont="1" applyFill="1" applyBorder="1"/>
    <xf numFmtId="164" fontId="9" fillId="6" borderId="5" xfId="1" applyNumberFormat="1" applyFont="1" applyFill="1" applyBorder="1"/>
    <xf numFmtId="169" fontId="9" fillId="6" borderId="5" xfId="1" applyNumberFormat="1" applyFont="1" applyFill="1" applyBorder="1"/>
    <xf numFmtId="174" fontId="9" fillId="6" borderId="10" xfId="1" applyNumberFormat="1" applyFont="1" applyFill="1" applyBorder="1" applyAlignment="1">
      <alignment horizontal="center"/>
    </xf>
    <xf numFmtId="0" fontId="10" fillId="7" borderId="12" xfId="1" applyFont="1" applyFill="1" applyBorder="1"/>
    <xf numFmtId="0" fontId="10" fillId="7" borderId="5" xfId="1" applyFont="1" applyFill="1" applyBorder="1"/>
    <xf numFmtId="173" fontId="10" fillId="7" borderId="5" xfId="1" applyNumberFormat="1" applyFont="1" applyFill="1" applyBorder="1"/>
    <xf numFmtId="42" fontId="10" fillId="7" borderId="5" xfId="1" applyNumberFormat="1" applyFont="1" applyFill="1" applyBorder="1"/>
    <xf numFmtId="9" fontId="10" fillId="7" borderId="5" xfId="1" applyNumberFormat="1" applyFont="1" applyFill="1" applyBorder="1"/>
    <xf numFmtId="43" fontId="10" fillId="7" borderId="10" xfId="1" applyNumberFormat="1" applyFont="1" applyFill="1" applyBorder="1"/>
    <xf numFmtId="173" fontId="7" fillId="0" borderId="1" xfId="1" applyNumberFormat="1" applyFont="1" applyBorder="1"/>
    <xf numFmtId="169" fontId="7" fillId="0" borderId="1" xfId="1" applyNumberFormat="1" applyFont="1" applyBorder="1"/>
    <xf numFmtId="173" fontId="7" fillId="0" borderId="0" xfId="1" applyNumberFormat="1" applyFont="1"/>
    <xf numFmtId="169" fontId="7" fillId="0" borderId="0" xfId="1" applyNumberFormat="1" applyFont="1"/>
    <xf numFmtId="0" fontId="10" fillId="7" borderId="6" xfId="1" applyFont="1" applyFill="1" applyBorder="1"/>
    <xf numFmtId="0" fontId="10" fillId="7" borderId="1" xfId="1" applyFont="1" applyFill="1" applyBorder="1"/>
    <xf numFmtId="171" fontId="10" fillId="7" borderId="7" xfId="1" applyNumberFormat="1" applyFont="1" applyFill="1" applyBorder="1"/>
    <xf numFmtId="0" fontId="10" fillId="7" borderId="13" xfId="1" applyFont="1" applyFill="1" applyBorder="1"/>
    <xf numFmtId="0" fontId="10" fillId="7" borderId="0" xfId="1" applyFont="1" applyFill="1"/>
    <xf numFmtId="171" fontId="10" fillId="7" borderId="11" xfId="1" applyNumberFormat="1" applyFont="1" applyFill="1" applyBorder="1"/>
    <xf numFmtId="0" fontId="10" fillId="7" borderId="8" xfId="1" applyFont="1" applyFill="1" applyBorder="1"/>
    <xf numFmtId="0" fontId="10" fillId="7" borderId="2" xfId="1" applyFont="1" applyFill="1" applyBorder="1"/>
    <xf numFmtId="171" fontId="10" fillId="7" borderId="9" xfId="1" applyNumberFormat="1" applyFont="1" applyFill="1" applyBorder="1"/>
    <xf numFmtId="172" fontId="10" fillId="7" borderId="9" xfId="1" applyNumberFormat="1" applyFont="1" applyFill="1" applyBorder="1"/>
    <xf numFmtId="172" fontId="10" fillId="7" borderId="10" xfId="1" applyNumberFormat="1" applyFont="1" applyFill="1" applyBorder="1"/>
    <xf numFmtId="168" fontId="9" fillId="6" borderId="5" xfId="1" applyNumberFormat="1" applyFont="1" applyFill="1" applyBorder="1" applyAlignment="1">
      <alignment horizontal="center"/>
    </xf>
    <xf numFmtId="172" fontId="10" fillId="7" borderId="11" xfId="1" applyNumberFormat="1" applyFont="1" applyFill="1" applyBorder="1"/>
    <xf numFmtId="170" fontId="24" fillId="0" borderId="0" xfId="0" applyNumberFormat="1" applyFont="1"/>
    <xf numFmtId="170" fontId="22" fillId="0" borderId="0" xfId="0" applyNumberFormat="1" applyFont="1"/>
    <xf numFmtId="167" fontId="8" fillId="0" borderId="0" xfId="0" applyNumberFormat="1" applyFont="1"/>
    <xf numFmtId="0" fontId="1" fillId="5" borderId="0" xfId="0" applyFont="1" applyFill="1"/>
    <xf numFmtId="9" fontId="1" fillId="5" borderId="0" xfId="0" applyNumberFormat="1" applyFont="1" applyFill="1"/>
    <xf numFmtId="0" fontId="12" fillId="5" borderId="2" xfId="0" applyFont="1" applyFill="1" applyBorder="1" applyAlignment="1">
      <alignment horizontal="center"/>
    </xf>
    <xf numFmtId="0" fontId="12" fillId="5" borderId="0" xfId="0" applyFont="1" applyFill="1" applyAlignment="1">
      <alignment horizontal="centerContinuous"/>
    </xf>
    <xf numFmtId="0" fontId="1" fillId="5" borderId="0" xfId="0" applyFont="1" applyFill="1" applyAlignment="1">
      <alignment horizontal="centerContinuous"/>
    </xf>
    <xf numFmtId="170" fontId="25" fillId="0" borderId="1" xfId="0" applyNumberFormat="1" applyFont="1" applyBorder="1"/>
    <xf numFmtId="175" fontId="1" fillId="0" borderId="0" xfId="0" applyNumberFormat="1" applyFont="1"/>
    <xf numFmtId="168" fontId="8" fillId="0" borderId="0" xfId="0" applyNumberFormat="1" applyFont="1" applyAlignment="1">
      <alignment horizontal="center" vertical="top" wrapText="1"/>
    </xf>
    <xf numFmtId="164" fontId="22" fillId="0" borderId="0" xfId="0" applyNumberFormat="1" applyFont="1"/>
    <xf numFmtId="166" fontId="22" fillId="0" borderId="0" xfId="0" applyNumberFormat="1" applyFont="1"/>
    <xf numFmtId="173" fontId="22" fillId="0" borderId="0" xfId="0" applyNumberFormat="1" applyFont="1"/>
    <xf numFmtId="168" fontId="8" fillId="0" borderId="1" xfId="1" applyNumberFormat="1" applyFont="1" applyBorder="1" applyAlignment="1">
      <alignment horizontal="center"/>
    </xf>
    <xf numFmtId="168" fontId="8" fillId="0" borderId="0" xfId="1" applyNumberFormat="1" applyFont="1" applyAlignment="1">
      <alignment horizontal="center"/>
    </xf>
    <xf numFmtId="0" fontId="7" fillId="0" borderId="0" xfId="0" applyFont="1" applyAlignment="1">
      <alignment horizontal="centerContinuous"/>
    </xf>
    <xf numFmtId="9" fontId="7" fillId="0" borderId="0" xfId="0" applyNumberFormat="1" applyFont="1"/>
    <xf numFmtId="0" fontId="7" fillId="0" borderId="0" xfId="0" applyFont="1"/>
    <xf numFmtId="0" fontId="12" fillId="5" borderId="2" xfId="0" applyFont="1" applyFill="1" applyBorder="1"/>
    <xf numFmtId="169" fontId="7" fillId="0" borderId="0" xfId="0" applyNumberFormat="1" applyFont="1" applyAlignment="1">
      <alignment horizontal="center"/>
    </xf>
    <xf numFmtId="9" fontId="1" fillId="0" borderId="0" xfId="0" applyNumberFormat="1" applyFont="1"/>
    <xf numFmtId="164" fontId="24" fillId="0" borderId="0" xfId="0" applyNumberFormat="1" applyFont="1"/>
    <xf numFmtId="169" fontId="9" fillId="6" borderId="5" xfId="1" applyNumberFormat="1" applyFont="1" applyFill="1" applyBorder="1" applyAlignment="1">
      <alignment horizontal="center"/>
    </xf>
    <xf numFmtId="168" fontId="7" fillId="0" borderId="0" xfId="1" applyNumberFormat="1" applyFont="1" applyAlignment="1">
      <alignment horizontal="center"/>
    </xf>
    <xf numFmtId="0" fontId="1" fillId="0" borderId="0" xfId="0" quotePrefix="1" applyFont="1"/>
    <xf numFmtId="172" fontId="10" fillId="7" borderId="7" xfId="1" applyNumberFormat="1" applyFont="1" applyFill="1" applyBorder="1"/>
    <xf numFmtId="169" fontId="8" fillId="0" borderId="0" xfId="0" applyNumberFormat="1" applyFont="1" applyAlignment="1">
      <alignment horizontal="center" vertical="top" wrapText="1"/>
    </xf>
    <xf numFmtId="164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165" fontId="8" fillId="0" borderId="0" xfId="2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5" borderId="0" xfId="0" applyFont="1" applyFill="1" applyAlignment="1">
      <alignment horizontal="center"/>
    </xf>
    <xf numFmtId="0" fontId="1" fillId="5" borderId="2" xfId="0" applyFont="1" applyFill="1" applyBorder="1"/>
    <xf numFmtId="0" fontId="1" fillId="8" borderId="0" xfId="0" applyFont="1" applyFill="1"/>
    <xf numFmtId="0" fontId="12" fillId="8" borderId="0" xfId="0" applyFont="1" applyFill="1" applyAlignment="1">
      <alignment horizontal="centerContinuous"/>
    </xf>
    <xf numFmtId="0" fontId="1" fillId="8" borderId="0" xfId="0" applyFont="1" applyFill="1" applyAlignment="1">
      <alignment horizontal="centerContinuous"/>
    </xf>
    <xf numFmtId="0" fontId="12" fillId="8" borderId="0" xfId="0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169" fontId="9" fillId="0" borderId="0" xfId="0" applyNumberFormat="1" applyFont="1" applyAlignment="1">
      <alignment horizontal="center"/>
    </xf>
    <xf numFmtId="164" fontId="7" fillId="0" borderId="0" xfId="1" applyNumberFormat="1" applyFont="1"/>
    <xf numFmtId="169" fontId="1" fillId="0" borderId="0" xfId="0" applyNumberFormat="1" applyFont="1"/>
    <xf numFmtId="176" fontId="27" fillId="0" borderId="0" xfId="0" applyNumberFormat="1" applyFont="1" applyAlignment="1">
      <alignment horizontal="center"/>
    </xf>
    <xf numFmtId="164" fontId="8" fillId="0" borderId="0" xfId="1" applyNumberFormat="1" applyFont="1"/>
    <xf numFmtId="169" fontId="8" fillId="0" borderId="0" xfId="0" applyNumberFormat="1" applyFont="1" applyAlignment="1">
      <alignment horizontal="center"/>
    </xf>
    <xf numFmtId="169" fontId="28" fillId="0" borderId="0" xfId="0" applyNumberFormat="1" applyFont="1" applyAlignment="1">
      <alignment horizontal="center"/>
    </xf>
    <xf numFmtId="169" fontId="29" fillId="0" borderId="0" xfId="0" applyNumberFormat="1" applyFont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3" xfId="7" xr:uid="{7F56A9AE-D5AA-4EED-A8EF-18B8B87D1E11}"/>
    <cellStyle name="Normal 3 2" xfId="3" xr:uid="{00000000-0005-0000-0000-000002000000}"/>
    <cellStyle name="Normal 3 3" xfId="8" xr:uid="{0E73E480-9AAE-4420-A575-30F46257B53D}"/>
    <cellStyle name="Normal 3 4" xfId="6" xr:uid="{00000000-0005-0000-0000-000003000000}"/>
    <cellStyle name="Normal 5 2" xfId="4" xr:uid="{00000000-0005-0000-0000-000004000000}"/>
    <cellStyle name="Note" xfId="2" builtinId="10"/>
    <cellStyle name="TextNormal" xfId="5" xr:uid="{00000000-0005-0000-0000-000006000000}"/>
  </cellStyles>
  <dxfs count="0"/>
  <tableStyles count="0" defaultTableStyle="TableStyleMedium9" defaultPivotStyle="PivotStyleLight16"/>
  <colors>
    <mruColors>
      <color rgb="FFDEEBF7"/>
      <color rgb="FF0000FF"/>
      <color rgb="FF558ED5"/>
      <color rgb="FF97B9E0"/>
      <color rgb="FFB2B2B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4D43-C8BC-4A15-8FEC-E7515C6669F0}">
  <sheetPr>
    <pageSetUpPr autoPageBreaks="0"/>
  </sheetPr>
  <dimension ref="B1:Q31"/>
  <sheetViews>
    <sheetView showGridLines="0" tabSelected="1" zoomScaleNormal="100" workbookViewId="0">
      <selection activeCell="B2" sqref="B2"/>
    </sheetView>
  </sheetViews>
  <sheetFormatPr defaultColWidth="9.07421875" defaultRowHeight="15.9" x14ac:dyDescent="0.45"/>
  <cols>
    <col min="1" max="1" width="2.53515625" style="10" customWidth="1"/>
    <col min="2" max="2" width="36.07421875" style="10" bestFit="1" customWidth="1"/>
    <col min="3" max="10" width="12.3046875" style="10" customWidth="1"/>
    <col min="11" max="11" width="2.53515625" style="10" customWidth="1"/>
    <col min="12" max="12" width="2.53515625" style="9" customWidth="1"/>
    <col min="13" max="22" width="12.3046875" style="10" customWidth="1"/>
    <col min="23" max="16384" width="9.07421875" style="10"/>
  </cols>
  <sheetData>
    <row r="1" spans="2:17" ht="15.75" customHeight="1" x14ac:dyDescent="0.45"/>
    <row r="2" spans="2:17" ht="15.75" customHeight="1" x14ac:dyDescent="0.5">
      <c r="B2" s="18" t="s">
        <v>89</v>
      </c>
    </row>
    <row r="3" spans="2:17" ht="15.75" customHeight="1" x14ac:dyDescent="0.45">
      <c r="B3" s="10" t="s">
        <v>34</v>
      </c>
      <c r="M3" s="76"/>
      <c r="N3" s="76"/>
      <c r="O3" s="76"/>
      <c r="P3" s="76"/>
      <c r="Q3" s="76"/>
    </row>
    <row r="4" spans="2:17" ht="15.75" customHeight="1" x14ac:dyDescent="0.45">
      <c r="M4" s="77"/>
      <c r="N4" s="77"/>
      <c r="O4" s="78"/>
      <c r="P4" s="78"/>
      <c r="Q4" s="78"/>
    </row>
    <row r="5" spans="2:17" ht="15.75" customHeight="1" x14ac:dyDescent="0.45">
      <c r="B5" s="19" t="s">
        <v>79</v>
      </c>
      <c r="C5" s="6" t="s">
        <v>5</v>
      </c>
      <c r="D5" s="20"/>
      <c r="E5" s="20"/>
      <c r="F5" s="20"/>
      <c r="G5" s="20"/>
      <c r="H5" s="20"/>
      <c r="I5" s="20"/>
      <c r="J5" s="20"/>
      <c r="M5" s="77"/>
      <c r="N5" s="77"/>
      <c r="O5" s="78"/>
      <c r="P5" s="78"/>
      <c r="Q5" s="78"/>
    </row>
    <row r="6" spans="2:17" ht="15.75" customHeight="1" x14ac:dyDescent="0.45">
      <c r="M6" s="77"/>
      <c r="N6" s="77"/>
      <c r="O6" s="78"/>
      <c r="P6" s="78"/>
      <c r="Q6" s="78"/>
    </row>
    <row r="7" spans="2:17" ht="15.75" customHeight="1" x14ac:dyDescent="0.45">
      <c r="B7" s="97"/>
      <c r="C7" s="97"/>
      <c r="D7" s="98" t="s">
        <v>66</v>
      </c>
      <c r="E7" s="99"/>
      <c r="F7" s="100" t="s">
        <v>68</v>
      </c>
      <c r="G7" s="97"/>
      <c r="H7" s="97"/>
      <c r="I7" s="97"/>
      <c r="J7" s="97"/>
      <c r="M7" s="77"/>
      <c r="N7" s="77"/>
      <c r="O7" s="78"/>
      <c r="P7" s="78"/>
      <c r="Q7" s="78"/>
    </row>
    <row r="8" spans="2:17" ht="15.75" customHeight="1" x14ac:dyDescent="0.45">
      <c r="B8" s="97"/>
      <c r="C8" s="97"/>
      <c r="D8" s="98" t="s">
        <v>67</v>
      </c>
      <c r="E8" s="99"/>
      <c r="F8" s="100" t="s">
        <v>69</v>
      </c>
      <c r="G8" s="97"/>
      <c r="H8" s="97"/>
      <c r="I8" s="97"/>
      <c r="J8" s="97"/>
      <c r="M8" s="77"/>
      <c r="N8" s="77"/>
      <c r="O8" s="78"/>
      <c r="P8" s="78"/>
      <c r="Q8" s="78"/>
    </row>
    <row r="9" spans="2:17" ht="15.75" customHeight="1" x14ac:dyDescent="0.45">
      <c r="B9" s="63"/>
      <c r="C9" s="63"/>
      <c r="D9" s="95" t="s">
        <v>64</v>
      </c>
      <c r="E9" s="95" t="s">
        <v>70</v>
      </c>
      <c r="F9" s="95" t="s">
        <v>64</v>
      </c>
      <c r="G9" s="63"/>
      <c r="H9" s="95" t="s">
        <v>76</v>
      </c>
      <c r="I9" s="95" t="s">
        <v>78</v>
      </c>
      <c r="J9" s="63"/>
      <c r="M9" s="77"/>
      <c r="N9" s="77"/>
      <c r="O9" s="78"/>
      <c r="P9" s="78"/>
      <c r="Q9" s="78"/>
    </row>
    <row r="10" spans="2:17" ht="15.75" customHeight="1" x14ac:dyDescent="0.45">
      <c r="B10" s="63"/>
      <c r="C10" s="63"/>
      <c r="D10" s="95" t="s">
        <v>65</v>
      </c>
      <c r="E10" s="95" t="s">
        <v>65</v>
      </c>
      <c r="F10" s="95" t="s">
        <v>65</v>
      </c>
      <c r="G10" s="63"/>
      <c r="H10" s="95" t="s">
        <v>88</v>
      </c>
      <c r="I10" s="95" t="s">
        <v>87</v>
      </c>
      <c r="J10" s="63"/>
      <c r="M10" s="77"/>
      <c r="N10" s="77"/>
      <c r="O10" s="78"/>
      <c r="P10" s="78"/>
      <c r="Q10" s="78"/>
    </row>
    <row r="11" spans="2:17" ht="15.75" customHeight="1" x14ac:dyDescent="0.45">
      <c r="B11" s="79" t="s">
        <v>80</v>
      </c>
      <c r="C11" s="96"/>
      <c r="D11" s="65" t="s">
        <v>86</v>
      </c>
      <c r="E11" s="65" t="s">
        <v>86</v>
      </c>
      <c r="F11" s="65" t="s">
        <v>86</v>
      </c>
      <c r="G11" s="96"/>
      <c r="H11" s="65" t="s">
        <v>77</v>
      </c>
      <c r="I11" s="65" t="s">
        <v>77</v>
      </c>
      <c r="J11" s="96"/>
      <c r="M11" s="77"/>
      <c r="N11" s="77"/>
      <c r="O11" s="78"/>
      <c r="P11" s="78"/>
      <c r="Q11" s="78"/>
    </row>
    <row r="12" spans="2:17" ht="15.75" customHeight="1" x14ac:dyDescent="0.45">
      <c r="B12" s="14" t="s">
        <v>1</v>
      </c>
      <c r="C12" s="12" t="s">
        <v>4</v>
      </c>
      <c r="D12" s="108">
        <f>RFR</f>
        <v>4.2299999999999997E-2</v>
      </c>
      <c r="E12" s="108">
        <f>RFR</f>
        <v>4.2299999999999997E-2</v>
      </c>
      <c r="F12" s="108">
        <f>RFR</f>
        <v>4.2299999999999997E-2</v>
      </c>
      <c r="G12" s="80"/>
      <c r="H12" s="80"/>
      <c r="I12" s="80"/>
      <c r="J12" s="80"/>
      <c r="M12" s="77"/>
      <c r="N12" s="77"/>
      <c r="O12" s="78"/>
      <c r="P12" s="78"/>
      <c r="Q12" s="78"/>
    </row>
    <row r="13" spans="2:17" ht="15.75" customHeight="1" x14ac:dyDescent="0.45">
      <c r="B13" s="14" t="s">
        <v>2</v>
      </c>
      <c r="C13" s="12" t="s">
        <v>4</v>
      </c>
      <c r="D13" s="108">
        <f>ERP</f>
        <v>5.5E-2</v>
      </c>
      <c r="E13" s="108">
        <f>ERP</f>
        <v>5.5E-2</v>
      </c>
      <c r="F13" s="108">
        <f>ERP</f>
        <v>5.5E-2</v>
      </c>
      <c r="G13" s="80"/>
      <c r="H13" s="80"/>
      <c r="I13" s="80"/>
      <c r="J13" s="80"/>
      <c r="M13" s="77"/>
      <c r="N13" s="77"/>
      <c r="O13" s="78"/>
      <c r="P13" s="78"/>
      <c r="Q13" s="78"/>
    </row>
    <row r="14" spans="2:17" ht="15.75" customHeight="1" x14ac:dyDescent="0.45">
      <c r="B14" s="14" t="s">
        <v>62</v>
      </c>
      <c r="C14" s="12" t="s">
        <v>75</v>
      </c>
      <c r="D14" s="105">
        <f>WES_WACC!K29</f>
        <v>0.56884238725359193</v>
      </c>
      <c r="E14" s="105">
        <f>WES_WACC!K30</f>
        <v>0.64910578172347977</v>
      </c>
      <c r="F14" s="105">
        <f>WES_WACC!C24</f>
        <v>2.33</v>
      </c>
      <c r="G14" s="101"/>
      <c r="H14" s="101"/>
      <c r="I14" s="101"/>
      <c r="J14" s="101"/>
      <c r="M14" s="77"/>
      <c r="N14" s="77"/>
      <c r="O14" s="78"/>
      <c r="P14" s="78"/>
      <c r="Q14" s="78"/>
    </row>
    <row r="15" spans="2:17" ht="15.75" customHeight="1" x14ac:dyDescent="0.45">
      <c r="M15" s="77"/>
      <c r="N15" s="77"/>
      <c r="O15" s="78"/>
      <c r="P15" s="78"/>
      <c r="Q15" s="78"/>
    </row>
    <row r="16" spans="2:17" ht="15.75" customHeight="1" x14ac:dyDescent="0.45">
      <c r="B16" s="14" t="s">
        <v>71</v>
      </c>
      <c r="C16" s="12" t="s">
        <v>6</v>
      </c>
      <c r="D16" s="103"/>
      <c r="E16" s="103"/>
      <c r="F16" s="103"/>
      <c r="G16" s="103"/>
      <c r="H16" s="103"/>
      <c r="I16" s="106">
        <v>1406.7136922778564</v>
      </c>
      <c r="J16" s="103"/>
      <c r="M16" s="77"/>
      <c r="N16" s="77"/>
      <c r="O16" s="78"/>
      <c r="P16" s="78"/>
      <c r="Q16" s="78"/>
    </row>
    <row r="17" spans="2:17" ht="15.75" customHeight="1" x14ac:dyDescent="0.45">
      <c r="B17" s="14" t="s">
        <v>74</v>
      </c>
      <c r="C17" s="12" t="s">
        <v>6</v>
      </c>
      <c r="D17" s="2"/>
      <c r="E17" s="2"/>
      <c r="F17" s="2"/>
      <c r="G17" s="2"/>
      <c r="H17" s="2"/>
      <c r="I17" s="11">
        <v>15665.3568</v>
      </c>
      <c r="J17" s="2"/>
      <c r="M17" s="77"/>
      <c r="N17" s="77"/>
      <c r="O17" s="78"/>
      <c r="P17" s="78"/>
      <c r="Q17" s="78"/>
    </row>
    <row r="18" spans="2:17" ht="15.75" customHeight="1" x14ac:dyDescent="0.45">
      <c r="B18" s="14" t="s">
        <v>72</v>
      </c>
      <c r="C18" s="12" t="s">
        <v>4</v>
      </c>
      <c r="D18" s="80"/>
      <c r="E18" s="80"/>
      <c r="F18" s="80"/>
      <c r="G18" s="80"/>
      <c r="H18" s="107">
        <v>8.3194853609811145E-2</v>
      </c>
      <c r="I18" s="80"/>
      <c r="J18" s="80"/>
      <c r="M18" s="77"/>
      <c r="N18" s="77"/>
      <c r="O18" s="78"/>
      <c r="P18" s="78"/>
      <c r="Q18" s="78"/>
    </row>
    <row r="19" spans="2:17" ht="15.75" customHeight="1" x14ac:dyDescent="0.45">
      <c r="B19" s="14" t="s">
        <v>73</v>
      </c>
      <c r="C19" s="12" t="s">
        <v>4</v>
      </c>
      <c r="D19" s="80"/>
      <c r="E19" s="80"/>
      <c r="F19" s="80"/>
      <c r="G19" s="80"/>
      <c r="H19" s="107">
        <v>3.5000000000000003E-2</v>
      </c>
      <c r="I19" s="80"/>
      <c r="J19" s="80"/>
      <c r="M19" s="77"/>
      <c r="N19" s="77"/>
      <c r="O19" s="78"/>
      <c r="P19" s="78"/>
      <c r="Q19" s="78"/>
    </row>
    <row r="20" spans="2:17" ht="15.75" customHeight="1" x14ac:dyDescent="0.45">
      <c r="M20" s="77"/>
      <c r="N20" s="77"/>
      <c r="O20" s="78"/>
      <c r="P20" s="78"/>
      <c r="Q20" s="78"/>
    </row>
    <row r="21" spans="2:17" ht="15.75" customHeight="1" x14ac:dyDescent="0.45">
      <c r="B21" s="94" t="s">
        <v>63</v>
      </c>
      <c r="C21" s="12" t="s">
        <v>4</v>
      </c>
      <c r="D21" s="109">
        <f>D12+D13*D14</f>
        <v>7.3586331298947552E-2</v>
      </c>
      <c r="E21" s="109">
        <f t="shared" ref="E21:F21" si="0">E12+E13*E14</f>
        <v>7.8000817994791388E-2</v>
      </c>
      <c r="F21" s="109">
        <f t="shared" si="0"/>
        <v>0.17045000000000002</v>
      </c>
      <c r="G21" s="102"/>
      <c r="H21" s="109">
        <f>H18+H19</f>
        <v>0.11819485360981115</v>
      </c>
      <c r="I21" s="109">
        <f>I16/I17</f>
        <v>8.9797743532905455E-2</v>
      </c>
      <c r="J21" s="102"/>
      <c r="M21" s="77"/>
      <c r="N21" s="77"/>
      <c r="O21" s="78"/>
      <c r="P21" s="78"/>
      <c r="Q21" s="78"/>
    </row>
    <row r="22" spans="2:17" ht="15.75" customHeight="1" x14ac:dyDescent="0.45">
      <c r="D22" s="104"/>
      <c r="M22" s="77"/>
      <c r="N22" s="77"/>
      <c r="O22" s="78"/>
      <c r="P22" s="78"/>
      <c r="Q22" s="78"/>
    </row>
    <row r="23" spans="2:17" ht="15.75" customHeight="1" x14ac:dyDescent="0.45">
      <c r="B23" s="19" t="s">
        <v>81</v>
      </c>
      <c r="C23" s="6"/>
      <c r="D23" s="20"/>
      <c r="E23" s="6"/>
      <c r="F23" s="6"/>
      <c r="G23" s="6"/>
      <c r="H23" s="6"/>
      <c r="I23" s="6"/>
      <c r="J23" s="6"/>
      <c r="M23" s="77"/>
      <c r="N23" s="77"/>
      <c r="O23" s="78"/>
      <c r="P23" s="78"/>
      <c r="Q23" s="78"/>
    </row>
    <row r="24" spans="2:17" ht="15.75" customHeight="1" x14ac:dyDescent="0.45">
      <c r="M24" s="77"/>
      <c r="N24" s="77"/>
      <c r="O24" s="78"/>
      <c r="P24" s="78"/>
      <c r="Q24" s="78"/>
    </row>
    <row r="25" spans="2:17" ht="15.75" customHeight="1" x14ac:dyDescent="0.45">
      <c r="B25" s="14" t="s">
        <v>82</v>
      </c>
      <c r="M25" s="77"/>
      <c r="N25" s="77"/>
      <c r="O25" s="78"/>
      <c r="P25" s="78"/>
      <c r="Q25" s="78"/>
    </row>
    <row r="26" spans="2:17" ht="15.75" customHeight="1" x14ac:dyDescent="0.45">
      <c r="B26" s="14" t="s">
        <v>83</v>
      </c>
      <c r="M26" s="77"/>
      <c r="N26" s="77"/>
      <c r="O26" s="78"/>
      <c r="P26" s="78"/>
      <c r="Q26" s="78"/>
    </row>
    <row r="27" spans="2:17" ht="15.75" customHeight="1" x14ac:dyDescent="0.45">
      <c r="M27" s="77"/>
      <c r="N27" s="77"/>
      <c r="O27" s="78"/>
      <c r="P27" s="78"/>
      <c r="Q27" s="78"/>
    </row>
    <row r="28" spans="2:17" ht="15.75" customHeight="1" x14ac:dyDescent="0.45">
      <c r="B28" s="14" t="s">
        <v>84</v>
      </c>
      <c r="M28" s="77"/>
      <c r="N28" s="77"/>
      <c r="O28" s="78"/>
      <c r="P28" s="78"/>
      <c r="Q28" s="78"/>
    </row>
    <row r="29" spans="2:17" ht="15.75" customHeight="1" x14ac:dyDescent="0.45">
      <c r="B29" s="14" t="s">
        <v>85</v>
      </c>
      <c r="M29" s="77"/>
      <c r="N29" s="77"/>
      <c r="O29" s="78"/>
      <c r="P29" s="78"/>
      <c r="Q29" s="78"/>
    </row>
    <row r="30" spans="2:17" ht="15.75" customHeight="1" x14ac:dyDescent="0.45">
      <c r="M30" s="77"/>
      <c r="N30" s="77"/>
      <c r="O30" s="78"/>
      <c r="P30" s="78"/>
      <c r="Q30" s="78"/>
    </row>
    <row r="31" spans="2:17" ht="15.75" customHeight="1" x14ac:dyDescent="0.45">
      <c r="M31" s="77"/>
      <c r="N31" s="77"/>
      <c r="O31" s="78"/>
      <c r="P31" s="78"/>
      <c r="Q31" s="78"/>
    </row>
  </sheetData>
  <pageMargins left="0.7" right="0.7" top="0.75" bottom="0.75" header="0.3" footer="0.3"/>
  <pageSetup scale="5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9D71-8BB2-4A5B-BE60-4638256AA599}">
  <sheetPr>
    <pageSetUpPr autoPageBreaks="0"/>
  </sheetPr>
  <dimension ref="B1:X67"/>
  <sheetViews>
    <sheetView showGridLines="0" zoomScaleNormal="100" workbookViewId="0">
      <selection activeCell="B2" sqref="B2"/>
    </sheetView>
  </sheetViews>
  <sheetFormatPr defaultColWidth="9.07421875" defaultRowHeight="15.9" x14ac:dyDescent="0.45"/>
  <cols>
    <col min="1" max="1" width="2.53515625" style="10" customWidth="1"/>
    <col min="2" max="2" width="36.07421875" style="10" bestFit="1" customWidth="1"/>
    <col min="3" max="11" width="12.3046875" style="10" customWidth="1"/>
    <col min="12" max="12" width="2.53515625" style="10" customWidth="1"/>
    <col min="13" max="13" width="2.53515625" style="9" customWidth="1"/>
    <col min="14" max="23" width="12.3046875" style="10" customWidth="1"/>
    <col min="24" max="16384" width="9.07421875" style="10"/>
  </cols>
  <sheetData>
    <row r="1" spans="2:20" ht="15.75" customHeight="1" x14ac:dyDescent="0.45"/>
    <row r="2" spans="2:20" ht="15.75" customHeight="1" x14ac:dyDescent="0.5">
      <c r="B2" s="18" t="s">
        <v>47</v>
      </c>
    </row>
    <row r="3" spans="2:20" ht="15.75" customHeight="1" x14ac:dyDescent="0.45">
      <c r="B3" s="10" t="s">
        <v>34</v>
      </c>
      <c r="N3" s="66" t="s">
        <v>46</v>
      </c>
      <c r="O3" s="66"/>
      <c r="P3" s="67"/>
      <c r="Q3" s="67"/>
      <c r="R3" s="67"/>
    </row>
    <row r="4" spans="2:20" ht="15.75" customHeight="1" x14ac:dyDescent="0.45">
      <c r="N4" s="64"/>
      <c r="O4" s="64"/>
      <c r="P4" s="63"/>
      <c r="Q4" s="63"/>
      <c r="R4" s="63"/>
    </row>
    <row r="5" spans="2:20" ht="15.75" customHeight="1" x14ac:dyDescent="0.45">
      <c r="B5" s="19" t="s">
        <v>50</v>
      </c>
      <c r="C5" s="6"/>
      <c r="D5" s="6" t="s">
        <v>5</v>
      </c>
      <c r="E5" s="20"/>
      <c r="F5" s="21"/>
      <c r="G5" s="21"/>
      <c r="M5" s="10"/>
      <c r="N5" s="65" t="s">
        <v>40</v>
      </c>
      <c r="O5" s="65" t="s">
        <v>43</v>
      </c>
      <c r="P5" s="65" t="s">
        <v>41</v>
      </c>
      <c r="Q5" s="65" t="s">
        <v>61</v>
      </c>
      <c r="R5" s="65" t="s">
        <v>42</v>
      </c>
    </row>
    <row r="6" spans="2:20" ht="15.75" customHeight="1" x14ac:dyDescent="0.45">
      <c r="B6" s="3" t="s">
        <v>7</v>
      </c>
      <c r="D6" s="5" t="s">
        <v>0</v>
      </c>
      <c r="E6" s="4">
        <v>45747</v>
      </c>
      <c r="M6" s="10"/>
      <c r="N6" s="62">
        <v>45838</v>
      </c>
      <c r="O6" s="61">
        <v>3.1E-2</v>
      </c>
      <c r="P6" s="11">
        <v>663.83100000000002</v>
      </c>
      <c r="Q6" s="11">
        <v>662.45699999999999</v>
      </c>
      <c r="R6" s="60">
        <f t="shared" ref="R6:R19" si="0">YIELD(Val_Date,N6,O6,Q6/P6*100,100,2)</f>
        <v>3.905736216790627E-2</v>
      </c>
    </row>
    <row r="7" spans="2:20" ht="15.75" customHeight="1" x14ac:dyDescent="0.45">
      <c r="B7" s="3" t="s">
        <v>49</v>
      </c>
      <c r="D7" s="5" t="s">
        <v>4</v>
      </c>
      <c r="E7" s="7">
        <v>0.01</v>
      </c>
      <c r="M7" s="10"/>
      <c r="N7" s="62">
        <v>45838</v>
      </c>
      <c r="O7" s="61">
        <v>3.95E-2</v>
      </c>
      <c r="P7" s="11">
        <v>336.75799999999998</v>
      </c>
      <c r="Q7" s="11">
        <v>335.209</v>
      </c>
      <c r="R7" s="60">
        <f t="shared" si="0"/>
        <v>5.7595139784949644E-2</v>
      </c>
    </row>
    <row r="8" spans="2:20" ht="15.75" customHeight="1" x14ac:dyDescent="0.45">
      <c r="B8" s="3" t="s">
        <v>1</v>
      </c>
      <c r="D8" s="12" t="s">
        <v>4</v>
      </c>
      <c r="E8" s="22">
        <v>4.2299999999999997E-2</v>
      </c>
      <c r="F8" s="23"/>
      <c r="G8" s="23"/>
      <c r="N8" s="62">
        <v>47483</v>
      </c>
      <c r="O8" s="61">
        <v>7.0000000000000007E-2</v>
      </c>
      <c r="P8" s="2">
        <f>10.956+23.329</f>
        <v>34.284999999999997</v>
      </c>
      <c r="Q8" s="2">
        <f>P8</f>
        <v>34.284999999999997</v>
      </c>
      <c r="R8" s="60">
        <f t="shared" si="0"/>
        <v>6.9962233436428059E-2</v>
      </c>
    </row>
    <row r="9" spans="2:20" ht="15.75" customHeight="1" x14ac:dyDescent="0.45">
      <c r="B9" s="3" t="s">
        <v>2</v>
      </c>
      <c r="D9" s="12" t="s">
        <v>4</v>
      </c>
      <c r="E9" s="22">
        <v>5.5E-2</v>
      </c>
      <c r="F9" s="23"/>
      <c r="G9" s="23"/>
      <c r="N9" s="62">
        <v>46203</v>
      </c>
      <c r="O9" s="61">
        <v>4.65E-2</v>
      </c>
      <c r="P9" s="11">
        <v>440.505</v>
      </c>
      <c r="Q9" s="11">
        <v>438.69900000000001</v>
      </c>
      <c r="R9" s="60">
        <f t="shared" si="0"/>
        <v>4.9864088333036544E-2</v>
      </c>
    </row>
    <row r="10" spans="2:20" ht="15.75" customHeight="1" x14ac:dyDescent="0.45">
      <c r="B10" s="3" t="s">
        <v>9</v>
      </c>
      <c r="D10" s="12" t="s">
        <v>4</v>
      </c>
      <c r="E10" s="24">
        <f>R20</f>
        <v>5.7132742902783293E-2</v>
      </c>
      <c r="F10" s="23"/>
      <c r="G10" s="23"/>
      <c r="H10" s="25"/>
      <c r="I10" s="25"/>
      <c r="N10" s="62">
        <v>46934</v>
      </c>
      <c r="O10" s="61">
        <v>4.4999999999999998E-2</v>
      </c>
      <c r="P10" s="11">
        <v>342.935</v>
      </c>
      <c r="Q10" s="11">
        <v>336.20699999999999</v>
      </c>
      <c r="R10" s="60">
        <f t="shared" si="0"/>
        <v>5.161013676314645E-2</v>
      </c>
      <c r="S10" s="13"/>
      <c r="T10" s="13"/>
    </row>
    <row r="11" spans="2:20" ht="15.75" customHeight="1" x14ac:dyDescent="0.45">
      <c r="B11" s="3" t="s">
        <v>10</v>
      </c>
      <c r="D11" s="12" t="s">
        <v>4</v>
      </c>
      <c r="E11" s="22">
        <v>0.13875272686358717</v>
      </c>
      <c r="F11" s="23"/>
      <c r="G11" s="23"/>
      <c r="H11" s="25"/>
      <c r="I11" s="25"/>
      <c r="N11" s="62">
        <v>46934</v>
      </c>
      <c r="O11" s="61">
        <v>4.7500000000000001E-2</v>
      </c>
      <c r="P11" s="11">
        <v>336.26</v>
      </c>
      <c r="Q11" s="11">
        <v>330.483</v>
      </c>
      <c r="R11" s="60">
        <f t="shared" si="0"/>
        <v>5.3300746609944945E-2</v>
      </c>
      <c r="S11" s="13"/>
      <c r="T11" s="13"/>
    </row>
    <row r="12" spans="2:20" ht="15.75" customHeight="1" x14ac:dyDescent="0.45">
      <c r="N12" s="62">
        <v>47299</v>
      </c>
      <c r="O12" s="61">
        <v>6.3500000000000001E-2</v>
      </c>
      <c r="P12" s="11">
        <v>600</v>
      </c>
      <c r="Q12" s="11">
        <v>621.93600000000004</v>
      </c>
      <c r="R12" s="60">
        <f t="shared" si="0"/>
        <v>5.3735425227692223E-2</v>
      </c>
      <c r="S12" s="13"/>
      <c r="T12" s="13"/>
    </row>
    <row r="13" spans="2:20" ht="15.75" customHeight="1" x14ac:dyDescent="0.45">
      <c r="B13" s="26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M13" s="10"/>
      <c r="N13" s="62">
        <v>47664</v>
      </c>
      <c r="O13" s="61">
        <v>4.0500000000000001E-2</v>
      </c>
      <c r="P13" s="11">
        <v>1057.134</v>
      </c>
      <c r="Q13" s="11">
        <v>992.32100000000003</v>
      </c>
      <c r="R13" s="60">
        <f t="shared" si="0"/>
        <v>5.4054566911695676E-2</v>
      </c>
      <c r="S13" s="13"/>
      <c r="T13" s="13"/>
    </row>
    <row r="14" spans="2:20" ht="15.75" customHeight="1" x14ac:dyDescent="0.45">
      <c r="B14" s="26"/>
      <c r="C14" s="27" t="s">
        <v>12</v>
      </c>
      <c r="D14" s="27"/>
      <c r="E14" s="27"/>
      <c r="F14" s="27"/>
      <c r="G14" s="27"/>
      <c r="H14" s="27" t="s">
        <v>14</v>
      </c>
      <c r="I14" s="27"/>
      <c r="J14" s="27"/>
      <c r="K14" s="27" t="s">
        <v>15</v>
      </c>
      <c r="N14" s="62">
        <v>48760</v>
      </c>
      <c r="O14" s="61">
        <v>6.1499999999999999E-2</v>
      </c>
      <c r="P14" s="11">
        <v>750</v>
      </c>
      <c r="Q14" s="11">
        <v>764.76</v>
      </c>
      <c r="R14" s="60">
        <f t="shared" si="0"/>
        <v>5.8442304287208639E-2</v>
      </c>
      <c r="S14" s="13"/>
      <c r="T14" s="13"/>
    </row>
    <row r="15" spans="2:20" ht="15.75" customHeight="1" x14ac:dyDescent="0.45">
      <c r="B15" s="28" t="s">
        <v>33</v>
      </c>
      <c r="C15" s="29" t="s">
        <v>16</v>
      </c>
      <c r="D15" s="29" t="s">
        <v>17</v>
      </c>
      <c r="E15" s="29" t="s">
        <v>18</v>
      </c>
      <c r="F15" s="29" t="s">
        <v>13</v>
      </c>
      <c r="G15" s="29" t="s">
        <v>19</v>
      </c>
      <c r="H15" s="29" t="s">
        <v>20</v>
      </c>
      <c r="I15" s="29" t="s">
        <v>21</v>
      </c>
      <c r="J15" s="29" t="s">
        <v>22</v>
      </c>
      <c r="K15" s="29" t="s">
        <v>16</v>
      </c>
      <c r="N15" s="62">
        <v>49125</v>
      </c>
      <c r="O15" s="61">
        <v>5.45E-2</v>
      </c>
      <c r="P15" s="11">
        <v>800</v>
      </c>
      <c r="Q15" s="11">
        <v>772.53599999999994</v>
      </c>
      <c r="R15" s="60">
        <f t="shared" si="0"/>
        <v>5.9362414567495185E-2</v>
      </c>
      <c r="S15" s="13"/>
      <c r="T15" s="13"/>
    </row>
    <row r="16" spans="2:20" ht="15.75" customHeight="1" x14ac:dyDescent="0.45">
      <c r="B16" s="1" t="s">
        <v>35</v>
      </c>
      <c r="C16" s="73">
        <v>0.55000000000000004</v>
      </c>
      <c r="D16" s="71">
        <v>14803</v>
      </c>
      <c r="E16" s="30">
        <f>D16/($D16+$F16+$H16)</f>
        <v>0.31650943369197737</v>
      </c>
      <c r="F16" s="71">
        <v>0</v>
      </c>
      <c r="G16" s="30">
        <f>F16/($D16+$F16+$H16)</f>
        <v>0</v>
      </c>
      <c r="H16" s="71">
        <v>31966.538042920001</v>
      </c>
      <c r="I16" s="30">
        <f>H16/($D16+$F16+$H16)</f>
        <v>0.68349056630802263</v>
      </c>
      <c r="J16" s="70">
        <v>0</v>
      </c>
      <c r="K16" s="31">
        <f>C16/(1+D16/H16*(1-J16)+F16/H16)</f>
        <v>0.37591981146941245</v>
      </c>
      <c r="N16" s="62">
        <v>52778</v>
      </c>
      <c r="O16" s="61">
        <v>5.45E-2</v>
      </c>
      <c r="P16" s="11">
        <v>600</v>
      </c>
      <c r="Q16" s="11">
        <v>534.096</v>
      </c>
      <c r="R16" s="60">
        <f t="shared" si="0"/>
        <v>6.4536932927843793E-2</v>
      </c>
      <c r="S16" s="13"/>
      <c r="T16" s="13"/>
    </row>
    <row r="17" spans="2:24" ht="15.75" customHeight="1" x14ac:dyDescent="0.45">
      <c r="B17" s="1" t="s">
        <v>36</v>
      </c>
      <c r="C17" s="73">
        <v>1.1399999999999999</v>
      </c>
      <c r="D17" s="72">
        <v>7108</v>
      </c>
      <c r="E17" s="30">
        <f>D17/($D17+$F17+$H17)</f>
        <v>0.30266747213345097</v>
      </c>
      <c r="F17" s="72">
        <v>2301</v>
      </c>
      <c r="G17" s="30">
        <f>F17/($D17+$F17+$H17)</f>
        <v>9.7979439136053836E-2</v>
      </c>
      <c r="H17" s="72">
        <v>14075.519</v>
      </c>
      <c r="I17" s="30">
        <f>H17/($D17+$F17+$H17)</f>
        <v>0.5993530887304952</v>
      </c>
      <c r="J17" s="70">
        <v>0.15234375</v>
      </c>
      <c r="K17" s="31">
        <f t="shared" ref="K17:K20" si="1">C17/(1+D17/H17*(1-J17)+F17/H17)</f>
        <v>0.71629030744189781</v>
      </c>
      <c r="N17" s="62">
        <v>54239</v>
      </c>
      <c r="O17" s="61">
        <v>5.2999999999999999E-2</v>
      </c>
      <c r="P17" s="11">
        <v>700</v>
      </c>
      <c r="Q17" s="11">
        <v>595.82600000000002</v>
      </c>
      <c r="R17" s="60">
        <f t="shared" si="0"/>
        <v>6.5549373069500316E-2</v>
      </c>
      <c r="S17" s="13"/>
      <c r="T17" s="13"/>
    </row>
    <row r="18" spans="2:24" ht="15.75" customHeight="1" x14ac:dyDescent="0.45">
      <c r="B18" s="1" t="s">
        <v>37</v>
      </c>
      <c r="C18" s="73">
        <v>1.1000000000000001</v>
      </c>
      <c r="D18" s="72">
        <v>3421.2</v>
      </c>
      <c r="E18" s="30">
        <f>D18/($D18+$F18+$H18)</f>
        <v>0.40933220470542614</v>
      </c>
      <c r="F18" s="72">
        <v>0</v>
      </c>
      <c r="G18" s="30">
        <f>F18/($D18+$F18+$H18)</f>
        <v>0</v>
      </c>
      <c r="H18" s="11">
        <v>4936.8035010000003</v>
      </c>
      <c r="I18" s="30">
        <f>H18/($D18+$F18+$H18)</f>
        <v>0.59066779529457403</v>
      </c>
      <c r="J18" s="70">
        <v>9.8248494800218938E-2</v>
      </c>
      <c r="K18" s="31">
        <f t="shared" si="1"/>
        <v>0.67695935713052391</v>
      </c>
      <c r="N18" s="62">
        <v>54239</v>
      </c>
      <c r="O18" s="61">
        <v>5.5E-2</v>
      </c>
      <c r="P18" s="11">
        <v>350</v>
      </c>
      <c r="Q18" s="11">
        <v>304.00299999999999</v>
      </c>
      <c r="R18" s="60">
        <f t="shared" si="0"/>
        <v>6.6138001322568848E-2</v>
      </c>
      <c r="S18" s="13"/>
      <c r="T18" s="13"/>
    </row>
    <row r="19" spans="2:24" ht="15.75" customHeight="1" x14ac:dyDescent="0.45">
      <c r="B19" s="1" t="s">
        <v>38</v>
      </c>
      <c r="C19" s="73">
        <v>1.36</v>
      </c>
      <c r="D19" s="72">
        <v>4107.1530000000002</v>
      </c>
      <c r="E19" s="30">
        <f>D19/($D19+$F19+$H19)</f>
        <v>0.6003223445235899</v>
      </c>
      <c r="F19" s="72">
        <v>813.58900000000006</v>
      </c>
      <c r="G19" s="30">
        <f>F19/($D19+$F19+$H19)</f>
        <v>0.11891830081776915</v>
      </c>
      <c r="H19" s="11">
        <v>1920.8374239</v>
      </c>
      <c r="I19" s="30">
        <f>H19/($D19+$F19+$H19)</f>
        <v>0.28075935465864083</v>
      </c>
      <c r="J19" s="70">
        <v>1.2E-2</v>
      </c>
      <c r="K19" s="31">
        <f t="shared" si="1"/>
        <v>0.384603354183291</v>
      </c>
      <c r="N19" s="62">
        <v>54969</v>
      </c>
      <c r="O19" s="61">
        <v>5.2499999999999998E-2</v>
      </c>
      <c r="P19" s="11">
        <v>1000</v>
      </c>
      <c r="Q19" s="11">
        <v>857.26</v>
      </c>
      <c r="R19" s="60">
        <f t="shared" si="0"/>
        <v>6.3961017884844651E-2</v>
      </c>
      <c r="S19" s="13"/>
      <c r="T19" s="13"/>
    </row>
    <row r="20" spans="2:24" ht="15.75" customHeight="1" x14ac:dyDescent="0.45">
      <c r="B20" s="1" t="s">
        <v>39</v>
      </c>
      <c r="C20" s="73">
        <v>1.2</v>
      </c>
      <c r="D20" s="72">
        <v>3153.6660000000002</v>
      </c>
      <c r="E20" s="30">
        <f>D20/($D20+$F20+$H20)</f>
        <v>0.67784914404716845</v>
      </c>
      <c r="F20" s="72">
        <v>899.45600000000002</v>
      </c>
      <c r="G20" s="30">
        <f>F20/($D20+$F20+$H20)</f>
        <v>0.19332912226852494</v>
      </c>
      <c r="H20" s="11">
        <v>599.33795764000001</v>
      </c>
      <c r="I20" s="30">
        <f>H20/($D20+$F20+$H20)</f>
        <v>0.12882173368430649</v>
      </c>
      <c r="J20" s="70">
        <v>5.1361749710971709E-3</v>
      </c>
      <c r="K20" s="31">
        <f t="shared" si="1"/>
        <v>0.15512616018460096</v>
      </c>
      <c r="M20" s="10"/>
      <c r="N20" s="15" t="s">
        <v>44</v>
      </c>
      <c r="O20" s="68">
        <f>SUMPRODUCT(O6:O19,P6:P19)/P20</f>
        <v>4.9971552445496024E-2</v>
      </c>
      <c r="P20" s="16">
        <f>SUM(P6:P19)</f>
        <v>8011.7079999999996</v>
      </c>
      <c r="Q20" s="16">
        <f>SUM(Q6:Q19)</f>
        <v>7580.0779999999995</v>
      </c>
      <c r="R20" s="68">
        <f>SUMPRODUCT(P6:P19,R6:R19)/P20</f>
        <v>5.7132742902783293E-2</v>
      </c>
      <c r="S20" s="13"/>
      <c r="T20" s="13"/>
    </row>
    <row r="21" spans="2:24" ht="15.75" customHeight="1" x14ac:dyDescent="0.45">
      <c r="M21" s="10"/>
      <c r="T21" s="13"/>
    </row>
    <row r="22" spans="2:24" ht="15.75" customHeight="1" x14ac:dyDescent="0.45">
      <c r="B22" s="32" t="s">
        <v>23</v>
      </c>
      <c r="C22" s="33">
        <f t="shared" ref="C22:K22" si="2">MEDIAN(C16:C20)</f>
        <v>1.1399999999999999</v>
      </c>
      <c r="D22" s="34">
        <f t="shared" si="2"/>
        <v>4107.1530000000002</v>
      </c>
      <c r="E22" s="35">
        <f t="shared" si="2"/>
        <v>0.40933220470542614</v>
      </c>
      <c r="F22" s="34">
        <f t="shared" si="2"/>
        <v>813.58900000000006</v>
      </c>
      <c r="G22" s="35">
        <f t="shared" si="2"/>
        <v>9.7979439136053836E-2</v>
      </c>
      <c r="H22" s="34">
        <f t="shared" si="2"/>
        <v>4936.8035010000003</v>
      </c>
      <c r="I22" s="35">
        <f t="shared" si="2"/>
        <v>0.59066779529457403</v>
      </c>
      <c r="J22" s="58">
        <f t="shared" si="2"/>
        <v>1.2E-2</v>
      </c>
      <c r="K22" s="36">
        <f t="shared" si="2"/>
        <v>0.384603354183291</v>
      </c>
    </row>
    <row r="23" spans="2:24" ht="15.75" customHeight="1" x14ac:dyDescent="0.45"/>
    <row r="24" spans="2:24" ht="15.75" customHeight="1" x14ac:dyDescent="0.45">
      <c r="B24" s="37" t="s">
        <v>8</v>
      </c>
      <c r="C24" s="39">
        <v>2.33</v>
      </c>
      <c r="D24" s="40"/>
      <c r="E24" s="40"/>
      <c r="F24" s="40"/>
      <c r="G24" s="40"/>
      <c r="H24" s="40"/>
      <c r="I24" s="40"/>
      <c r="J24" s="41"/>
      <c r="K24" s="42"/>
    </row>
    <row r="25" spans="2:24" ht="15.75" customHeight="1" x14ac:dyDescent="0.45">
      <c r="E25" s="69"/>
      <c r="M25" s="10"/>
      <c r="N25" s="14"/>
      <c r="Q25" s="92"/>
      <c r="R25" s="88"/>
    </row>
    <row r="26" spans="2:24" ht="15.75" customHeight="1" x14ac:dyDescent="0.45">
      <c r="B26" s="26" t="s">
        <v>48</v>
      </c>
      <c r="C26" s="26"/>
      <c r="D26" s="26"/>
      <c r="E26" s="26"/>
      <c r="F26" s="26"/>
      <c r="G26" s="26"/>
      <c r="H26" s="26"/>
      <c r="I26" s="26"/>
      <c r="J26" s="26"/>
      <c r="K26" s="26"/>
      <c r="M26" s="10"/>
      <c r="N26" s="14"/>
      <c r="Q26" s="92"/>
      <c r="R26" s="89"/>
    </row>
    <row r="27" spans="2:24" ht="15.75" customHeight="1" x14ac:dyDescent="0.45">
      <c r="B27" s="26"/>
      <c r="C27" s="27" t="s">
        <v>15</v>
      </c>
      <c r="D27" s="27"/>
      <c r="E27" s="27"/>
      <c r="F27" s="27"/>
      <c r="G27" s="27"/>
      <c r="H27" s="27" t="s">
        <v>14</v>
      </c>
      <c r="I27" s="27"/>
      <c r="J27" s="27"/>
      <c r="K27" s="27" t="s">
        <v>12</v>
      </c>
      <c r="N27" s="14"/>
      <c r="S27" s="1"/>
      <c r="T27" s="1"/>
      <c r="U27" s="1"/>
      <c r="V27" s="1"/>
      <c r="W27" s="1"/>
      <c r="X27" s="1"/>
    </row>
    <row r="28" spans="2:24" ht="15.75" customHeight="1" x14ac:dyDescent="0.45">
      <c r="B28" s="28"/>
      <c r="C28" s="29" t="s">
        <v>16</v>
      </c>
      <c r="D28" s="29" t="s">
        <v>17</v>
      </c>
      <c r="E28" s="29" t="s">
        <v>18</v>
      </c>
      <c r="F28" s="29" t="s">
        <v>13</v>
      </c>
      <c r="G28" s="29" t="s">
        <v>19</v>
      </c>
      <c r="H28" s="29" t="s">
        <v>20</v>
      </c>
      <c r="I28" s="29" t="s">
        <v>21</v>
      </c>
      <c r="J28" s="29" t="s">
        <v>22</v>
      </c>
      <c r="K28" s="29" t="s">
        <v>16</v>
      </c>
      <c r="N28" s="3"/>
      <c r="Q28" s="92"/>
      <c r="R28" s="80"/>
    </row>
    <row r="29" spans="2:24" ht="15.75" customHeight="1" x14ac:dyDescent="0.45">
      <c r="B29" s="17" t="s">
        <v>24</v>
      </c>
      <c r="C29" s="43">
        <f>$K$22</f>
        <v>0.384603354183291</v>
      </c>
      <c r="D29" s="71">
        <v>7580.0780000000004</v>
      </c>
      <c r="E29" s="44">
        <f>D29/($D29+$F29+$H29)</f>
        <v>0.32608888864492225</v>
      </c>
      <c r="F29" s="71">
        <v>0</v>
      </c>
      <c r="G29" s="44">
        <f>F29/($D29+$F29+$H29)</f>
        <v>0</v>
      </c>
      <c r="H29" s="71">
        <v>15665.3568</v>
      </c>
      <c r="I29" s="44">
        <f>H29/($D29+$F29+$H29)</f>
        <v>0.67391111135507775</v>
      </c>
      <c r="J29" s="74">
        <v>0.01</v>
      </c>
      <c r="K29" s="31">
        <f>C29*(1+D29/H29*(1-J29)+F29/H29)</f>
        <v>0.56884238725359193</v>
      </c>
      <c r="N29" s="3"/>
      <c r="Q29" s="92"/>
      <c r="R29" s="80"/>
    </row>
    <row r="30" spans="2:24" ht="15.75" customHeight="1" x14ac:dyDescent="0.45">
      <c r="B30" s="1" t="s">
        <v>25</v>
      </c>
      <c r="C30" s="45">
        <f t="shared" ref="C30" si="3">$K$22</f>
        <v>0.384603354183291</v>
      </c>
      <c r="D30" s="2">
        <f>($D$29+$F$29+$H$29)*E30</f>
        <v>7237.5304118425247</v>
      </c>
      <c r="E30" s="46">
        <f>1-I30-G30</f>
        <v>0.31135276556937214</v>
      </c>
      <c r="F30" s="2">
        <f>($D$29+$F$29+$H$29)*G30</f>
        <v>2277.5746641777077</v>
      </c>
      <c r="G30" s="46">
        <f>G22</f>
        <v>9.7979439136053836E-2</v>
      </c>
      <c r="H30" s="2">
        <f>($D$29+$F$29+$H$29)*I30</f>
        <v>13730.329723979767</v>
      </c>
      <c r="I30" s="46">
        <f>I22</f>
        <v>0.59066779529457403</v>
      </c>
      <c r="J30" s="75">
        <v>0.01</v>
      </c>
      <c r="K30" s="31">
        <f>C30*(1+D30/H30*(1-J30)+F30/H30)</f>
        <v>0.64910578172347977</v>
      </c>
    </row>
    <row r="31" spans="2:24" ht="15.75" customHeight="1" x14ac:dyDescent="0.45">
      <c r="E31" s="46"/>
    </row>
    <row r="32" spans="2:24" ht="15.75" customHeight="1" x14ac:dyDescent="0.45">
      <c r="B32" s="47" t="s">
        <v>26</v>
      </c>
      <c r="C32" s="48"/>
      <c r="D32" s="48"/>
      <c r="E32" s="48"/>
      <c r="F32" s="48"/>
      <c r="G32" s="48"/>
      <c r="H32" s="48"/>
      <c r="I32" s="48"/>
      <c r="J32" s="48"/>
      <c r="K32" s="49">
        <f>RFR+ERP*K29</f>
        <v>7.3586331298947552E-2</v>
      </c>
      <c r="N32" s="14"/>
      <c r="Q32" s="93"/>
      <c r="R32" s="90"/>
    </row>
    <row r="33" spans="2:24" ht="15.75" customHeight="1" x14ac:dyDescent="0.45">
      <c r="B33" s="50" t="s">
        <v>27</v>
      </c>
      <c r="C33" s="51"/>
      <c r="D33" s="51"/>
      <c r="E33" s="51"/>
      <c r="F33" s="51"/>
      <c r="G33" s="51"/>
      <c r="H33" s="51"/>
      <c r="I33" s="51"/>
      <c r="J33" s="51"/>
      <c r="K33" s="52">
        <f>RFR+ERP*K30</f>
        <v>7.8000817994791388E-2</v>
      </c>
      <c r="N33" s="14"/>
      <c r="Q33" s="93"/>
      <c r="R33" s="91"/>
    </row>
    <row r="34" spans="2:24" ht="15.75" customHeight="1" x14ac:dyDescent="0.45">
      <c r="B34" s="53" t="s">
        <v>28</v>
      </c>
      <c r="C34" s="54"/>
      <c r="D34" s="54"/>
      <c r="E34" s="54"/>
      <c r="F34" s="54"/>
      <c r="G34" s="54"/>
      <c r="H34" s="54"/>
      <c r="I34" s="54"/>
      <c r="J34" s="54"/>
      <c r="K34" s="55">
        <f>RFR+ERP*C24</f>
        <v>0.17045000000000002</v>
      </c>
    </row>
    <row r="35" spans="2:24" ht="15.75" customHeight="1" x14ac:dyDescent="0.45">
      <c r="B35" s="17"/>
      <c r="C35" s="17"/>
      <c r="D35" s="17"/>
      <c r="E35" s="17"/>
      <c r="F35" s="17"/>
      <c r="G35" s="17"/>
      <c r="H35" s="17"/>
      <c r="I35" s="17"/>
      <c r="J35" s="17"/>
      <c r="K35" s="17"/>
      <c r="N35" s="3"/>
      <c r="Q35" s="92"/>
      <c r="R35" s="80"/>
    </row>
    <row r="36" spans="2:24" ht="15.75" customHeight="1" x14ac:dyDescent="0.45">
      <c r="B36" s="37" t="s">
        <v>45</v>
      </c>
      <c r="C36" s="38"/>
      <c r="D36" s="38"/>
      <c r="E36" s="38"/>
      <c r="F36" s="38"/>
      <c r="G36" s="38"/>
      <c r="H36" s="38"/>
      <c r="I36" s="38"/>
      <c r="J36" s="38"/>
      <c r="K36" s="57">
        <f>AVERAGE(K32:K34)</f>
        <v>0.10734571643124631</v>
      </c>
      <c r="N36" s="3"/>
      <c r="Q36" s="92"/>
      <c r="R36" s="80"/>
    </row>
    <row r="37" spans="2:24" ht="15.75" customHeight="1" x14ac:dyDescent="0.45">
      <c r="B37" s="17"/>
      <c r="C37" s="17"/>
      <c r="D37" s="17"/>
      <c r="E37" s="17"/>
      <c r="F37" s="17"/>
      <c r="G37" s="17"/>
      <c r="H37" s="17"/>
      <c r="I37" s="17"/>
      <c r="J37" s="17"/>
      <c r="K37" s="1"/>
      <c r="M37" s="10"/>
    </row>
    <row r="38" spans="2:24" ht="15.75" customHeight="1" x14ac:dyDescent="0.45">
      <c r="B38" s="47" t="s">
        <v>29</v>
      </c>
      <c r="C38" s="48"/>
      <c r="D38" s="48"/>
      <c r="E38" s="48"/>
      <c r="F38" s="48"/>
      <c r="G38" s="48"/>
      <c r="H38" s="48"/>
      <c r="I38" s="48"/>
      <c r="J38" s="48"/>
      <c r="K38" s="59">
        <f>K32*I29+Cost_of_Debt*(1-Tax_Rate)*E29+Cost_of_Preferred*G29</f>
        <v>6.8034695418237312E-2</v>
      </c>
      <c r="M38" s="10"/>
    </row>
    <row r="39" spans="2:24" ht="15.75" customHeight="1" x14ac:dyDescent="0.45">
      <c r="B39" s="50" t="s">
        <v>30</v>
      </c>
      <c r="C39" s="51"/>
      <c r="D39" s="51"/>
      <c r="E39" s="51"/>
      <c r="F39" s="51"/>
      <c r="G39" s="51"/>
      <c r="H39" s="51"/>
      <c r="I39" s="51"/>
      <c r="J39" s="51"/>
      <c r="K39" s="59">
        <f>K33*I30+Cost_of_Debt*(1-Tax_Rate)*E30+Cost_of_Preferred*G30</f>
        <v>7.7278038685121148E-2</v>
      </c>
    </row>
    <row r="40" spans="2:24" ht="15.75" customHeight="1" x14ac:dyDescent="0.45">
      <c r="B40" s="53" t="s">
        <v>31</v>
      </c>
      <c r="C40" s="54"/>
      <c r="D40" s="54"/>
      <c r="E40" s="54"/>
      <c r="F40" s="54"/>
      <c r="G40" s="54"/>
      <c r="H40" s="54"/>
      <c r="I40" s="54"/>
      <c r="J40" s="54"/>
      <c r="K40" s="56">
        <f>K34*I29+Cost_of_Debt*(1-Tax_Rate)*E29+Cost_of_Preferred*G29</f>
        <v>0.13331219804249364</v>
      </c>
      <c r="M40" s="8"/>
    </row>
    <row r="41" spans="2:24" ht="15.75" customHeight="1" x14ac:dyDescent="0.45">
      <c r="M41" s="8"/>
    </row>
    <row r="42" spans="2:24" x14ac:dyDescent="0.45">
      <c r="B42" s="37" t="s">
        <v>32</v>
      </c>
      <c r="C42" s="38"/>
      <c r="D42" s="38"/>
      <c r="E42" s="38"/>
      <c r="F42" s="38"/>
      <c r="G42" s="38"/>
      <c r="H42" s="38"/>
      <c r="I42" s="38"/>
      <c r="J42" s="38"/>
      <c r="K42" s="57">
        <f>AVERAGE(K38:K40)</f>
        <v>9.2874977381950705E-2</v>
      </c>
    </row>
    <row r="43" spans="2:24" x14ac:dyDescent="0.45">
      <c r="M43" s="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 x14ac:dyDescent="0.45">
      <c r="M44" s="8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2:24" x14ac:dyDescent="0.45">
      <c r="M45" s="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2:24" x14ac:dyDescent="0.45">
      <c r="M46" s="8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2:24" x14ac:dyDescent="0.45">
      <c r="M47" s="8"/>
      <c r="P47" s="1"/>
      <c r="Q47" s="1"/>
      <c r="R47" s="1"/>
      <c r="S47" s="1"/>
      <c r="T47" s="1"/>
      <c r="U47" s="1"/>
      <c r="V47" s="1"/>
      <c r="W47" s="1"/>
      <c r="X47" s="1"/>
    </row>
    <row r="48" spans="2:24" x14ac:dyDescent="0.45">
      <c r="M48" s="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3:24" x14ac:dyDescent="0.45">
      <c r="M49" s="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3:24" x14ac:dyDescent="0.45">
      <c r="M50" s="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66" spans="13:13" x14ac:dyDescent="0.45">
      <c r="M66" s="10"/>
    </row>
    <row r="67" spans="13:13" x14ac:dyDescent="0.45">
      <c r="M67" s="10"/>
    </row>
  </sheetData>
  <pageMargins left="0.7" right="0.7" top="0.75" bottom="0.75" header="0.3" footer="0.3"/>
  <pageSetup scale="54" orientation="portrait" horizontalDpi="1200" verticalDpi="1200" r:id="rId1"/>
  <ignoredErrors>
    <ignoredError sqref="E30 G30:H30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C3AA-305B-4339-A7BE-789C2B04EB05}">
  <sheetPr>
    <pageSetUpPr autoPageBreaks="0"/>
  </sheetPr>
  <dimension ref="B1:W67"/>
  <sheetViews>
    <sheetView showGridLines="0" zoomScaleNormal="100" workbookViewId="0">
      <selection activeCell="B1" sqref="B1"/>
    </sheetView>
  </sheetViews>
  <sheetFormatPr defaultColWidth="9.07421875" defaultRowHeight="15.9" x14ac:dyDescent="0.45"/>
  <cols>
    <col min="1" max="1" width="2.53515625" style="10" customWidth="1"/>
    <col min="2" max="2" width="36.07421875" style="10" bestFit="1" customWidth="1"/>
    <col min="3" max="11" width="12.3046875" style="10" customWidth="1"/>
    <col min="12" max="12" width="2.53515625" style="10" customWidth="1"/>
    <col min="13" max="13" width="2.53515625" style="9" customWidth="1"/>
    <col min="14" max="22" width="12.3046875" style="10" customWidth="1"/>
    <col min="23" max="16384" width="9.07421875" style="10"/>
  </cols>
  <sheetData>
    <row r="1" spans="2:14" ht="15.75" customHeight="1" x14ac:dyDescent="0.45"/>
    <row r="2" spans="2:14" ht="15.75" customHeight="1" x14ac:dyDescent="0.5">
      <c r="B2" s="18" t="s">
        <v>59</v>
      </c>
    </row>
    <row r="3" spans="2:14" ht="15.75" customHeight="1" x14ac:dyDescent="0.45">
      <c r="B3" s="10" t="s">
        <v>34</v>
      </c>
    </row>
    <row r="4" spans="2:14" ht="15.75" customHeight="1" x14ac:dyDescent="0.45">
      <c r="N4" s="81"/>
    </row>
    <row r="5" spans="2:14" ht="15.75" customHeight="1" x14ac:dyDescent="0.45">
      <c r="B5" s="19" t="s">
        <v>50</v>
      </c>
      <c r="C5" s="20"/>
      <c r="D5" s="6" t="s">
        <v>5</v>
      </c>
      <c r="E5" s="20"/>
      <c r="F5" s="21"/>
      <c r="G5" s="21"/>
      <c r="M5" s="10"/>
    </row>
    <row r="6" spans="2:14" ht="15.75" customHeight="1" x14ac:dyDescent="0.45">
      <c r="B6" s="3" t="s">
        <v>7</v>
      </c>
      <c r="D6" s="5" t="s">
        <v>0</v>
      </c>
      <c r="E6" s="4">
        <v>45783</v>
      </c>
      <c r="F6" s="21"/>
      <c r="G6" s="21"/>
      <c r="M6" s="10"/>
    </row>
    <row r="7" spans="2:14" ht="15.75" customHeight="1" x14ac:dyDescent="0.45">
      <c r="B7" s="3" t="s">
        <v>1</v>
      </c>
      <c r="D7" s="12" t="s">
        <v>4</v>
      </c>
      <c r="E7" s="22">
        <v>4.2299999999999997E-2</v>
      </c>
      <c r="F7" s="23"/>
      <c r="G7" s="23"/>
      <c r="M7" s="10"/>
    </row>
    <row r="8" spans="2:14" ht="15.75" customHeight="1" x14ac:dyDescent="0.45">
      <c r="B8" s="3" t="s">
        <v>2</v>
      </c>
      <c r="D8" s="12" t="s">
        <v>4</v>
      </c>
      <c r="E8" s="22">
        <v>5.5E-2</v>
      </c>
      <c r="F8" s="23"/>
      <c r="G8" s="23"/>
    </row>
    <row r="9" spans="2:14" ht="15.75" customHeight="1" x14ac:dyDescent="0.45">
      <c r="B9" s="3" t="s">
        <v>9</v>
      </c>
      <c r="D9" s="12" t="s">
        <v>4</v>
      </c>
      <c r="E9" s="24">
        <f>YIELD(E6,"12/31/2031",3.6%,2987.85/3252.432*100,100,2)</f>
        <v>5.0547976413384134E-2</v>
      </c>
      <c r="F9" s="23"/>
      <c r="G9" s="23"/>
      <c r="H9" s="25"/>
      <c r="I9" s="25"/>
    </row>
    <row r="10" spans="2:14" ht="15.75" customHeight="1" x14ac:dyDescent="0.45">
      <c r="B10" s="3" t="s">
        <v>51</v>
      </c>
      <c r="D10" s="12" t="s">
        <v>4</v>
      </c>
      <c r="E10" s="24">
        <f>E9*(1-J30)</f>
        <v>3.9528517555266394E-2</v>
      </c>
      <c r="F10" s="23"/>
      <c r="G10" s="23"/>
      <c r="H10" s="25"/>
      <c r="I10" s="25"/>
    </row>
    <row r="11" spans="2:14" ht="15.75" customHeight="1" x14ac:dyDescent="0.45">
      <c r="B11" s="3" t="s">
        <v>10</v>
      </c>
      <c r="D11" s="12" t="s">
        <v>4</v>
      </c>
      <c r="E11" s="22">
        <v>0</v>
      </c>
      <c r="F11" s="23"/>
      <c r="G11" s="23"/>
      <c r="H11" s="25"/>
      <c r="I11" s="25"/>
    </row>
    <row r="12" spans="2:14" ht="15.75" customHeight="1" x14ac:dyDescent="0.45"/>
    <row r="13" spans="2:14" ht="15.75" customHeight="1" x14ac:dyDescent="0.45">
      <c r="B13" s="26" t="s">
        <v>11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2:14" ht="15.75" customHeight="1" x14ac:dyDescent="0.45">
      <c r="B14" s="26"/>
      <c r="C14" s="27" t="s">
        <v>12</v>
      </c>
      <c r="D14" s="27"/>
      <c r="E14" s="27"/>
      <c r="F14" s="27" t="s">
        <v>13</v>
      </c>
      <c r="G14" s="27"/>
      <c r="H14" s="27" t="s">
        <v>14</v>
      </c>
      <c r="I14" s="27"/>
      <c r="J14" s="27"/>
      <c r="K14" s="27" t="s">
        <v>15</v>
      </c>
      <c r="M14" s="10"/>
    </row>
    <row r="15" spans="2:14" ht="15.75" customHeight="1" x14ac:dyDescent="0.45">
      <c r="B15" s="28" t="s">
        <v>3</v>
      </c>
      <c r="C15" s="29" t="s">
        <v>16</v>
      </c>
      <c r="D15" s="29" t="s">
        <v>17</v>
      </c>
      <c r="E15" s="29" t="s">
        <v>18</v>
      </c>
      <c r="F15" s="29" t="s">
        <v>52</v>
      </c>
      <c r="G15" s="29" t="s">
        <v>19</v>
      </c>
      <c r="H15" s="29" t="s">
        <v>20</v>
      </c>
      <c r="I15" s="29" t="s">
        <v>21</v>
      </c>
      <c r="J15" s="29" t="s">
        <v>22</v>
      </c>
      <c r="K15" s="29" t="s">
        <v>16</v>
      </c>
    </row>
    <row r="16" spans="2:14" ht="15.75" customHeight="1" x14ac:dyDescent="0.45">
      <c r="B16" s="1" t="s">
        <v>53</v>
      </c>
      <c r="C16" s="73">
        <v>1.75</v>
      </c>
      <c r="D16" s="71">
        <v>6190</v>
      </c>
      <c r="E16" s="30">
        <f>D16/($D16+$F16+$H16)</f>
        <v>0.18223140739170623</v>
      </c>
      <c r="F16" s="71">
        <v>0</v>
      </c>
      <c r="G16" s="30">
        <f>F16/($D16+$F16+$H16)</f>
        <v>0</v>
      </c>
      <c r="H16" s="71">
        <v>27777.8</v>
      </c>
      <c r="I16" s="30">
        <f>H16/($D16+$F16+$H16)</f>
        <v>0.8177685926082936</v>
      </c>
      <c r="J16" s="87">
        <v>0.2009</v>
      </c>
      <c r="K16" s="31">
        <f>C16/(1+D16/H16*(1-J16)+F16/H16)</f>
        <v>1.4854788481036483</v>
      </c>
    </row>
    <row r="17" spans="2:23" ht="15.75" customHeight="1" x14ac:dyDescent="0.45">
      <c r="B17" s="1" t="s">
        <v>54</v>
      </c>
      <c r="C17" s="73">
        <v>2.04</v>
      </c>
      <c r="D17" s="72">
        <v>7056</v>
      </c>
      <c r="E17" s="30">
        <f t="shared" ref="E17:G21" si="0">D17/($D17+$F17+$H17)</f>
        <v>0.62204668876507507</v>
      </c>
      <c r="F17" s="72">
        <v>0</v>
      </c>
      <c r="G17" s="30">
        <f t="shared" si="0"/>
        <v>0</v>
      </c>
      <c r="H17" s="72">
        <v>4287.2</v>
      </c>
      <c r="I17" s="30">
        <f t="shared" ref="I17:I21" si="1">H17/($D17+$F17+$H17)</f>
        <v>0.37795331123492487</v>
      </c>
      <c r="J17" s="87">
        <v>0.25</v>
      </c>
      <c r="K17" s="31">
        <f t="shared" ref="K17:K21" si="2">C17/(1+D17/H17*(1-J17)+F17/H17)</f>
        <v>0.91300818439953235</v>
      </c>
    </row>
    <row r="18" spans="2:23" ht="15.75" customHeight="1" x14ac:dyDescent="0.45">
      <c r="B18" s="1" t="s">
        <v>55</v>
      </c>
      <c r="C18" s="73">
        <v>1.82</v>
      </c>
      <c r="D18" s="72">
        <v>4243</v>
      </c>
      <c r="E18" s="30">
        <f t="shared" si="0"/>
        <v>0.3040683383378362</v>
      </c>
      <c r="F18" s="72">
        <v>0</v>
      </c>
      <c r="G18" s="30">
        <f t="shared" si="0"/>
        <v>0</v>
      </c>
      <c r="H18" s="72">
        <v>9711.1</v>
      </c>
      <c r="I18" s="30">
        <f t="shared" si="1"/>
        <v>0.6959316616621638</v>
      </c>
      <c r="J18" s="87">
        <v>0.123</v>
      </c>
      <c r="K18" s="31">
        <f t="shared" si="2"/>
        <v>1.3158073529369065</v>
      </c>
    </row>
    <row r="19" spans="2:23" ht="15.75" customHeight="1" x14ac:dyDescent="0.45">
      <c r="B19" s="1" t="s">
        <v>56</v>
      </c>
      <c r="C19" s="73">
        <v>1.29</v>
      </c>
      <c r="D19" s="72">
        <v>957.2</v>
      </c>
      <c r="E19" s="30">
        <f t="shared" si="0"/>
        <v>0.15660226101467534</v>
      </c>
      <c r="F19" s="72">
        <v>0</v>
      </c>
      <c r="G19" s="30">
        <f t="shared" si="0"/>
        <v>0</v>
      </c>
      <c r="H19" s="11">
        <v>5155.1000000000004</v>
      </c>
      <c r="I19" s="30">
        <f t="shared" si="1"/>
        <v>0.84339773898532466</v>
      </c>
      <c r="J19" s="87">
        <v>0.23</v>
      </c>
      <c r="K19" s="31">
        <f t="shared" si="2"/>
        <v>1.1286348398817136</v>
      </c>
    </row>
    <row r="20" spans="2:23" ht="15.75" customHeight="1" x14ac:dyDescent="0.45">
      <c r="B20" s="1" t="s">
        <v>57</v>
      </c>
      <c r="C20" s="73">
        <v>1.33</v>
      </c>
      <c r="D20" s="72">
        <v>709.3</v>
      </c>
      <c r="E20" s="30">
        <f t="shared" si="0"/>
        <v>6.3001287915796955E-2</v>
      </c>
      <c r="F20" s="72">
        <v>0</v>
      </c>
      <c r="G20" s="30">
        <f t="shared" si="0"/>
        <v>0</v>
      </c>
      <c r="H20" s="11">
        <v>10549.2</v>
      </c>
      <c r="I20" s="30">
        <f t="shared" si="1"/>
        <v>0.93699871208420316</v>
      </c>
      <c r="J20" s="87">
        <v>0.23100000000000001</v>
      </c>
      <c r="K20" s="31">
        <f t="shared" si="2"/>
        <v>1.2646125700367863</v>
      </c>
    </row>
    <row r="21" spans="2:23" ht="15.75" customHeight="1" x14ac:dyDescent="0.45">
      <c r="B21" s="1" t="s">
        <v>58</v>
      </c>
      <c r="C21" s="73">
        <v>1.02</v>
      </c>
      <c r="D21" s="72">
        <v>429.904</v>
      </c>
      <c r="E21" s="30">
        <f t="shared" si="0"/>
        <v>0.3412196484811541</v>
      </c>
      <c r="F21" s="72">
        <v>0</v>
      </c>
      <c r="G21" s="30">
        <f t="shared" si="0"/>
        <v>0</v>
      </c>
      <c r="H21" s="11">
        <v>830</v>
      </c>
      <c r="I21" s="30">
        <f t="shared" si="1"/>
        <v>0.65878035151884584</v>
      </c>
      <c r="J21" s="87">
        <v>0.115</v>
      </c>
      <c r="K21" s="31">
        <f t="shared" si="2"/>
        <v>0.69940062044253659</v>
      </c>
    </row>
    <row r="22" spans="2:23" ht="15.75" customHeight="1" x14ac:dyDescent="0.45">
      <c r="M22" s="10"/>
    </row>
    <row r="23" spans="2:23" ht="15.75" customHeight="1" x14ac:dyDescent="0.45">
      <c r="B23" s="32" t="s">
        <v>23</v>
      </c>
      <c r="C23" s="33">
        <f>MEDIAN(C16:C21)</f>
        <v>1.54</v>
      </c>
      <c r="D23" s="34">
        <f t="shared" ref="D23:K23" si="3">MEDIAN(D16:D21)</f>
        <v>2600.1000000000004</v>
      </c>
      <c r="E23" s="35">
        <f t="shared" si="3"/>
        <v>0.24314987286477122</v>
      </c>
      <c r="F23" s="34">
        <f t="shared" si="3"/>
        <v>0</v>
      </c>
      <c r="G23" s="35">
        <f t="shared" si="3"/>
        <v>0</v>
      </c>
      <c r="H23" s="34">
        <f t="shared" si="3"/>
        <v>7433.1</v>
      </c>
      <c r="I23" s="35">
        <f t="shared" si="3"/>
        <v>0.7568501271352287</v>
      </c>
      <c r="J23" s="83">
        <f t="shared" si="3"/>
        <v>0.21545</v>
      </c>
      <c r="K23" s="36">
        <f t="shared" si="3"/>
        <v>1.1966237049592499</v>
      </c>
      <c r="M23" s="10"/>
    </row>
    <row r="24" spans="2:23" ht="15.75" customHeight="1" x14ac:dyDescent="0.45"/>
    <row r="25" spans="2:23" ht="15.75" customHeight="1" x14ac:dyDescent="0.45">
      <c r="B25" s="37" t="s">
        <v>60</v>
      </c>
      <c r="C25" s="39">
        <v>1.45</v>
      </c>
      <c r="D25" s="40"/>
      <c r="E25" s="40"/>
      <c r="F25" s="40"/>
      <c r="G25" s="40"/>
      <c r="H25" s="40"/>
      <c r="I25" s="40"/>
      <c r="J25" s="41"/>
      <c r="K25" s="42"/>
    </row>
    <row r="26" spans="2:23" ht="15.75" customHeight="1" x14ac:dyDescent="0.45"/>
    <row r="27" spans="2:23" ht="15.75" customHeight="1" x14ac:dyDescent="0.45">
      <c r="B27" s="26" t="s">
        <v>48</v>
      </c>
      <c r="C27" s="26"/>
      <c r="D27" s="26"/>
      <c r="E27" s="26"/>
      <c r="F27" s="26"/>
      <c r="G27" s="26"/>
      <c r="H27" s="26"/>
      <c r="I27" s="26"/>
      <c r="J27" s="26"/>
      <c r="K27" s="26"/>
      <c r="M27" s="10"/>
    </row>
    <row r="28" spans="2:23" ht="15.75" customHeight="1" x14ac:dyDescent="0.45">
      <c r="B28" s="26"/>
      <c r="C28" s="27" t="s">
        <v>15</v>
      </c>
      <c r="D28" s="27"/>
      <c r="E28" s="27"/>
      <c r="F28" s="27" t="s">
        <v>13</v>
      </c>
      <c r="G28" s="27"/>
      <c r="H28" s="27" t="s">
        <v>14</v>
      </c>
      <c r="I28" s="27"/>
      <c r="J28" s="27"/>
      <c r="K28" s="27" t="s">
        <v>12</v>
      </c>
      <c r="M28" s="10"/>
    </row>
    <row r="29" spans="2:23" ht="15.75" customHeight="1" x14ac:dyDescent="0.45">
      <c r="B29" s="28"/>
      <c r="C29" s="29" t="s">
        <v>16</v>
      </c>
      <c r="D29" s="29" t="s">
        <v>17</v>
      </c>
      <c r="E29" s="29" t="s">
        <v>18</v>
      </c>
      <c r="F29" s="29" t="s">
        <v>52</v>
      </c>
      <c r="G29" s="29" t="s">
        <v>19</v>
      </c>
      <c r="H29" s="29" t="s">
        <v>20</v>
      </c>
      <c r="I29" s="29" t="s">
        <v>21</v>
      </c>
      <c r="J29" s="29" t="s">
        <v>22</v>
      </c>
      <c r="K29" s="29" t="s">
        <v>16</v>
      </c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2:23" ht="15.75" customHeight="1" x14ac:dyDescent="0.45">
      <c r="B30" s="17" t="s">
        <v>24</v>
      </c>
      <c r="C30" s="43">
        <f>K23</f>
        <v>1.1966237049592499</v>
      </c>
      <c r="D30" s="82">
        <f>2987.85+26.371</f>
        <v>3014.221</v>
      </c>
      <c r="E30" s="44">
        <f t="shared" ref="E30:I30" si="4">D30/($D30+$F30+$H30)</f>
        <v>0.13123269887512565</v>
      </c>
      <c r="F30" s="71">
        <v>0</v>
      </c>
      <c r="G30" s="44">
        <f t="shared" si="4"/>
        <v>0</v>
      </c>
      <c r="H30" s="71">
        <v>19954.3</v>
      </c>
      <c r="I30" s="44">
        <f t="shared" si="4"/>
        <v>0.86876730112487432</v>
      </c>
      <c r="J30" s="74">
        <v>0.218</v>
      </c>
      <c r="K30" s="31">
        <f>C30*(1+D30/H30*(1-J30)+F30/H30)</f>
        <v>1.3379760275693255</v>
      </c>
    </row>
    <row r="31" spans="2:23" ht="15.75" customHeight="1" x14ac:dyDescent="0.45">
      <c r="B31" s="1" t="s">
        <v>25</v>
      </c>
      <c r="C31" s="45">
        <f>K23</f>
        <v>1.1966237049592499</v>
      </c>
      <c r="D31" s="2">
        <f>($D$30+$F$30+$H$30)*E31</f>
        <v>5584.7929610418296</v>
      </c>
      <c r="E31" s="46">
        <f>1-I31-G31</f>
        <v>0.2431498728647713</v>
      </c>
      <c r="F31" s="2">
        <f>($D$30+$F$30+$H$30)*G31</f>
        <v>0</v>
      </c>
      <c r="G31" s="46">
        <f>G23</f>
        <v>0</v>
      </c>
      <c r="H31" s="2">
        <f>($D$30+$F$30+$H$30)*I31</f>
        <v>17383.728038958172</v>
      </c>
      <c r="I31" s="46">
        <f>I23</f>
        <v>0.7568501271352287</v>
      </c>
      <c r="J31" s="84">
        <f>J30</f>
        <v>0.218</v>
      </c>
      <c r="K31" s="31">
        <f>C31*(1+D31/H31*(1-J31)+F31/H31)</f>
        <v>1.4972510722457939</v>
      </c>
    </row>
    <row r="32" spans="2:23" ht="15.75" customHeight="1" x14ac:dyDescent="0.45">
      <c r="E32" s="46"/>
    </row>
    <row r="33" spans="2:23" ht="15.75" customHeight="1" x14ac:dyDescent="0.45">
      <c r="B33" s="47" t="s">
        <v>26</v>
      </c>
      <c r="C33" s="48"/>
      <c r="D33" s="48"/>
      <c r="E33" s="48"/>
      <c r="F33" s="48"/>
      <c r="G33" s="48"/>
      <c r="H33" s="48"/>
      <c r="I33" s="48"/>
      <c r="J33" s="48"/>
      <c r="K33" s="49">
        <f>E7+E8*K30</f>
        <v>0.1158886815163129</v>
      </c>
    </row>
    <row r="34" spans="2:23" ht="15.75" customHeight="1" x14ac:dyDescent="0.45">
      <c r="B34" s="50" t="s">
        <v>27</v>
      </c>
      <c r="C34" s="51"/>
      <c r="D34" s="51"/>
      <c r="E34" s="51"/>
      <c r="F34" s="51"/>
      <c r="G34" s="51"/>
      <c r="H34" s="51"/>
      <c r="I34" s="51"/>
      <c r="J34" s="51"/>
      <c r="K34" s="52">
        <f>E7+E8*K31</f>
        <v>0.12464880897351865</v>
      </c>
      <c r="N34" s="85"/>
    </row>
    <row r="35" spans="2:23" ht="15.75" customHeight="1" x14ac:dyDescent="0.45">
      <c r="B35" s="53" t="s">
        <v>28</v>
      </c>
      <c r="C35" s="54"/>
      <c r="D35" s="54"/>
      <c r="E35" s="54"/>
      <c r="F35" s="54"/>
      <c r="G35" s="54"/>
      <c r="H35" s="54"/>
      <c r="I35" s="54"/>
      <c r="J35" s="54"/>
      <c r="K35" s="55">
        <f>E7+E8*C25</f>
        <v>0.12204999999999999</v>
      </c>
    </row>
    <row r="36" spans="2:23" ht="15.75" customHeight="1" x14ac:dyDescent="0.45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2:23" ht="15.75" customHeight="1" x14ac:dyDescent="0.45">
      <c r="B37" s="47" t="s">
        <v>29</v>
      </c>
      <c r="C37" s="48"/>
      <c r="D37" s="48"/>
      <c r="E37" s="48"/>
      <c r="F37" s="48"/>
      <c r="G37" s="48"/>
      <c r="H37" s="48"/>
      <c r="I37" s="48"/>
      <c r="J37" s="48"/>
      <c r="K37" s="86">
        <f>K33*I30+E9*(1-J30)*E30+E11*G30</f>
        <v>0.10586773111315766</v>
      </c>
      <c r="M37" s="10"/>
    </row>
    <row r="38" spans="2:23" ht="15.75" customHeight="1" x14ac:dyDescent="0.45">
      <c r="B38" s="50" t="s">
        <v>30</v>
      </c>
      <c r="C38" s="51"/>
      <c r="D38" s="51"/>
      <c r="E38" s="51"/>
      <c r="F38" s="51"/>
      <c r="G38" s="51"/>
      <c r="H38" s="51"/>
      <c r="I38" s="51"/>
      <c r="J38" s="51"/>
      <c r="K38" s="59">
        <f>K34*I31+E9*(1-J31)*E31+E11*G31</f>
        <v>0.10395182093695833</v>
      </c>
      <c r="M38" s="10"/>
    </row>
    <row r="39" spans="2:23" ht="15.75" customHeight="1" x14ac:dyDescent="0.45">
      <c r="B39" s="53" t="s">
        <v>31</v>
      </c>
      <c r="C39" s="54"/>
      <c r="D39" s="54"/>
      <c r="E39" s="54"/>
      <c r="F39" s="54"/>
      <c r="G39" s="54"/>
      <c r="H39" s="54"/>
      <c r="I39" s="54"/>
      <c r="J39" s="54"/>
      <c r="K39" s="56">
        <f>K35*I30+E9*(1-J30)*E30+E11*G30</f>
        <v>0.11122048314360129</v>
      </c>
    </row>
    <row r="40" spans="2:23" ht="15.75" customHeight="1" x14ac:dyDescent="0.45">
      <c r="M40" s="8"/>
    </row>
    <row r="41" spans="2:23" ht="15.75" customHeight="1" x14ac:dyDescent="0.45">
      <c r="B41" s="37" t="s">
        <v>32</v>
      </c>
      <c r="C41" s="38"/>
      <c r="D41" s="38"/>
      <c r="E41" s="38"/>
      <c r="F41" s="38"/>
      <c r="G41" s="38"/>
      <c r="H41" s="38"/>
      <c r="I41" s="38"/>
      <c r="J41" s="38"/>
      <c r="K41" s="57">
        <f>AVERAGE(K37:K39)</f>
        <v>0.10701334506457243</v>
      </c>
      <c r="M41" s="8"/>
    </row>
    <row r="43" spans="2:23" x14ac:dyDescent="0.45">
      <c r="M43" s="8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2:23" x14ac:dyDescent="0.45">
      <c r="M44" s="8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2:23" x14ac:dyDescent="0.45">
      <c r="M45" s="8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x14ac:dyDescent="0.45">
      <c r="M46" s="8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2:23" x14ac:dyDescent="0.45">
      <c r="M47" s="8"/>
      <c r="O47" s="1"/>
      <c r="P47" s="1"/>
      <c r="Q47" s="1"/>
      <c r="R47" s="1"/>
      <c r="S47" s="1"/>
      <c r="T47" s="1"/>
      <c r="U47" s="1"/>
      <c r="V47" s="1"/>
      <c r="W47" s="1"/>
    </row>
    <row r="48" spans="2:23" x14ac:dyDescent="0.45">
      <c r="M48" s="8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3:23" x14ac:dyDescent="0.45">
      <c r="M49" s="8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3:23" x14ac:dyDescent="0.45">
      <c r="M50" s="8"/>
      <c r="N50" s="1"/>
      <c r="O50" s="1"/>
      <c r="P50" s="1"/>
      <c r="Q50" s="1"/>
      <c r="R50" s="1"/>
      <c r="S50" s="1"/>
      <c r="T50" s="1"/>
      <c r="U50" s="1"/>
      <c r="V50" s="1"/>
      <c r="W50" s="1"/>
    </row>
    <row r="66" spans="13:13" x14ac:dyDescent="0.45">
      <c r="M66" s="10"/>
    </row>
    <row r="67" spans="13:13" x14ac:dyDescent="0.45">
      <c r="M67" s="10"/>
    </row>
  </sheetData>
  <pageMargins left="0.7" right="0.7" top="0.75" bottom="0.75" header="0.3" footer="0.3"/>
  <pageSetup scale="57" orientation="portrait" horizontalDpi="1200" verticalDpi="1200" r:id="rId1"/>
  <ignoredErrors>
    <ignoredError sqref="E31 G31: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FF783B9-BA0F-4C17-9A37-B49E95E6309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Cost_of_Equity</vt:lpstr>
      <vt:lpstr>WES_WACC</vt:lpstr>
      <vt:lpstr>STLD_WACC</vt:lpstr>
      <vt:lpstr>Cost_of_Debt</vt:lpstr>
      <vt:lpstr>Cost_of_Equity</vt:lpstr>
      <vt:lpstr>Cost_of_Preferred</vt:lpstr>
      <vt:lpstr>ERP</vt:lpstr>
      <vt:lpstr>Cost_of_Equity!Print_Area</vt:lpstr>
      <vt:lpstr>STLD_WACC!Print_Area</vt:lpstr>
      <vt:lpstr>WES_WACC!Print_Area</vt:lpstr>
      <vt:lpstr>RFR</vt:lpstr>
      <vt:lpstr>Tax_Rate</vt:lpstr>
      <vt:lpstr>Val_Date</vt:lpstr>
    </vt:vector>
  </TitlesOfParts>
  <Company>LENOVO 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cp:lastPrinted>2025-04-24T18:56:46Z</cp:lastPrinted>
  <dcterms:created xsi:type="dcterms:W3CDTF">2009-06-26T05:31:17Z</dcterms:created>
  <dcterms:modified xsi:type="dcterms:W3CDTF">2025-10-22T15:14:52Z</dcterms:modified>
</cp:coreProperties>
</file>