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Ex1.xml" ContentType="application/vnd.ms-office.chartex+xml"/>
  <Override PartName="/xl/charts/style10.xml" ContentType="application/vnd.ms-office.chartstyle+xml"/>
  <Override PartName="/xl/charts/colors10.xml" ContentType="application/vnd.ms-office.chartcolorstyle+xml"/>
  <Override PartName="/xl/charts/chart10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1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dech\BIWS Dropbox\Brian DeChesare\BIWS-All-Courses\100-Bonus-Case-Studies\107-Valuation-Discounted-Cash-Flow\107-34-SpaceX-Valuation\"/>
    </mc:Choice>
  </mc:AlternateContent>
  <xr:revisionPtr revIDLastSave="0" documentId="13_ncr:1_{3510A94D-684B-4548-9B45-B4F7EE59B7AB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Control" sheetId="16" r:id="rId1"/>
    <sheet name="Graphs" sheetId="22" r:id="rId2"/>
    <sheet name="STLK" sheetId="14" r:id="rId3"/>
    <sheet name="AI" sheetId="18" r:id="rId4"/>
    <sheet name="SPC" sheetId="20" r:id="rId5"/>
    <sheet name="STLK_Comps" sheetId="15" r:id="rId6"/>
    <sheet name="AI_Comps" sheetId="19" r:id="rId7"/>
    <sheet name="SPC_Comps" sheetId="21" r:id="rId8"/>
    <sheet name="WACC" sheetId="17" r:id="rId9"/>
  </sheets>
  <definedNames>
    <definedName name="_xlchart.v1.0" hidden="1">Graphs!$B$6:$B$12</definedName>
    <definedName name="_xlchart.v1.1" hidden="1">Graphs!$F$6:$F$12</definedName>
    <definedName name="Allowed_NOL_Usage">Control!$K$8</definedName>
    <definedName name="CIQWBGuid" hidden="1">"fedf60f8-2cd9-49ba-9fee-91fc372c3a0f"</definedName>
    <definedName name="Company_Name">Control!$E$7</definedName>
    <definedName name="Cost_of_Debt" localSheetId="8">WACC!$F$8</definedName>
    <definedName name="Cost_of_Preferred" localSheetId="8">WACC!$F$9</definedName>
    <definedName name="Discount_Rate">Control!$E$23</definedName>
    <definedName name="Div_1">STLK!$E$8</definedName>
    <definedName name="Div_2">AI!$E$8</definedName>
    <definedName name="Div_3">SPC!$E$8</definedName>
    <definedName name="Equity_Risk_Premium" localSheetId="8">WACC!$F$7</definedName>
    <definedName name="Hist_Year">Control!$E$14</definedName>
    <definedName name="IQ_DNTM" hidden="1">700000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MTD" hidden="1">800000</definedName>
    <definedName name="IQ_NAMES_REVISION_DATE_" hidden="1">"08/30/2015 13:55:30"</definedName>
    <definedName name="IQ_QTD" hidden="1">750000</definedName>
    <definedName name="IQ_TODAY" hidden="1">0</definedName>
    <definedName name="IQ_YTDMONTH" hidden="1">130000</definedName>
    <definedName name="Months">Control!$E$11</definedName>
    <definedName name="_xlnm.Print_Area" localSheetId="3">AI!$A$1:$AB$112</definedName>
    <definedName name="_xlnm.Print_Area" localSheetId="6">AI_Comps!$A$1:$X$33</definedName>
    <definedName name="_xlnm.Print_Area" localSheetId="0">Control!$A$1:$AB$257</definedName>
    <definedName name="_xlnm.Print_Area" localSheetId="1">Graphs!$A$1:$N$1</definedName>
    <definedName name="_xlnm.Print_Area" localSheetId="4">SPC!$A$1:$AB$91</definedName>
    <definedName name="_xlnm.Print_Area" localSheetId="7">SPC_Comps!$A$1:$W$30</definedName>
    <definedName name="_xlnm.Print_Area" localSheetId="2">STLK!$A$1:$AB$109</definedName>
    <definedName name="_xlnm.Print_Area" localSheetId="5">STLK_Comps!$A$1:$W$46</definedName>
    <definedName name="_xlnm.Print_Area" localSheetId="8">WACC!$A$1:$M$41</definedName>
    <definedName name="Risk_Free_Rate" localSheetId="8">WACC!$F$6</definedName>
    <definedName name="Scenario">Control!$K$15</definedName>
    <definedName name="Tax_Rate">Control!$E$15</definedName>
    <definedName name="Ticker">Control!$E$8</definedName>
    <definedName name="Units">Control!$E$12</definedName>
    <definedName name="Valuation_Date">Control!$E$9</definedName>
  </definedNames>
  <calcPr calcId="191029" calcMode="autoNoTable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4" i="20" l="1"/>
  <c r="F54" i="20"/>
  <c r="G75" i="18"/>
  <c r="F75" i="18"/>
  <c r="G72" i="14"/>
  <c r="F72" i="14"/>
  <c r="B15" i="22"/>
  <c r="T27" i="19"/>
  <c r="T17" i="19"/>
  <c r="T8" i="19"/>
  <c r="R43" i="15"/>
  <c r="S43" i="15"/>
  <c r="S42" i="15"/>
  <c r="R42" i="15"/>
  <c r="R41" i="15"/>
  <c r="S41" i="15"/>
  <c r="R39" i="15"/>
  <c r="S39" i="15"/>
  <c r="R37" i="15"/>
  <c r="S37" i="15"/>
  <c r="R36" i="15"/>
  <c r="S36" i="15"/>
  <c r="S29" i="15"/>
  <c r="R29" i="15"/>
  <c r="S28" i="15"/>
  <c r="R28" i="15"/>
  <c r="R27" i="15"/>
  <c r="S27" i="15"/>
  <c r="S26" i="15"/>
  <c r="R25" i="15"/>
  <c r="S25" i="15"/>
  <c r="S24" i="15"/>
  <c r="R24" i="15"/>
  <c r="R23" i="15"/>
  <c r="S23" i="15"/>
  <c r="R22" i="15"/>
  <c r="S22" i="15"/>
  <c r="R9" i="15"/>
  <c r="R8" i="15"/>
  <c r="S15" i="15"/>
  <c r="S14" i="15"/>
  <c r="S11" i="15"/>
  <c r="B145" i="22"/>
  <c r="B144" i="22"/>
  <c r="B143" i="22"/>
  <c r="W142" i="22"/>
  <c r="V142" i="22"/>
  <c r="U142" i="22"/>
  <c r="T142" i="22"/>
  <c r="S142" i="22"/>
  <c r="R142" i="22"/>
  <c r="Q142" i="22"/>
  <c r="P142" i="22"/>
  <c r="O142" i="22"/>
  <c r="N142" i="22"/>
  <c r="M142" i="22"/>
  <c r="L142" i="22"/>
  <c r="K142" i="22"/>
  <c r="J142" i="22"/>
  <c r="I142" i="22"/>
  <c r="H142" i="22"/>
  <c r="G142" i="22"/>
  <c r="F142" i="22"/>
  <c r="E142" i="22"/>
  <c r="D142" i="22"/>
  <c r="W107" i="22"/>
  <c r="V107" i="22"/>
  <c r="U107" i="22"/>
  <c r="T107" i="22"/>
  <c r="S107" i="22"/>
  <c r="R107" i="22"/>
  <c r="Q107" i="22"/>
  <c r="P107" i="22"/>
  <c r="O107" i="22"/>
  <c r="N107" i="22"/>
  <c r="M107" i="22"/>
  <c r="L107" i="22"/>
  <c r="K107" i="22"/>
  <c r="J107" i="22"/>
  <c r="I107" i="22"/>
  <c r="H107" i="22"/>
  <c r="G107" i="22"/>
  <c r="F107" i="22"/>
  <c r="E107" i="22"/>
  <c r="D107" i="22"/>
  <c r="B35" i="22"/>
  <c r="B75" i="22"/>
  <c r="M43" i="22"/>
  <c r="L43" i="22"/>
  <c r="K43" i="22"/>
  <c r="J43" i="22"/>
  <c r="I43" i="22"/>
  <c r="J42" i="22"/>
  <c r="K42" i="22"/>
  <c r="L42" i="22"/>
  <c r="M42" i="22"/>
  <c r="I42" i="22"/>
  <c r="M41" i="22"/>
  <c r="L41" i="22"/>
  <c r="K41" i="22"/>
  <c r="J41" i="22"/>
  <c r="I41" i="22"/>
  <c r="N41" i="22" s="1"/>
  <c r="J40" i="22"/>
  <c r="K40" i="22"/>
  <c r="L40" i="22"/>
  <c r="M40" i="22"/>
  <c r="I40" i="22"/>
  <c r="J39" i="22"/>
  <c r="K39" i="22"/>
  <c r="L39" i="22"/>
  <c r="M39" i="22"/>
  <c r="I39" i="22"/>
  <c r="B43" i="22"/>
  <c r="B42" i="22"/>
  <c r="B41" i="22"/>
  <c r="B40" i="22"/>
  <c r="B39" i="22"/>
  <c r="E255" i="16" a="1"/>
  <c r="E255" i="16" s="1"/>
  <c r="E254" i="16"/>
  <c r="C252" i="16"/>
  <c r="I249" i="16"/>
  <c r="H249" i="16"/>
  <c r="G249" i="16"/>
  <c r="F249" i="16"/>
  <c r="E249" i="16"/>
  <c r="E248" i="16"/>
  <c r="C246" i="16"/>
  <c r="E243" i="16" a="1"/>
  <c r="E243" i="16" s="1"/>
  <c r="E242" i="16"/>
  <c r="C240" i="16"/>
  <c r="C234" i="16"/>
  <c r="E236" i="16"/>
  <c r="I237" i="16"/>
  <c r="H237" i="16"/>
  <c r="G237" i="16"/>
  <c r="F237" i="16"/>
  <c r="E237" i="16"/>
  <c r="E231" i="16" a="1"/>
  <c r="E231" i="16" s="1"/>
  <c r="B110" i="22"/>
  <c r="B109" i="22"/>
  <c r="B108" i="22"/>
  <c r="C228" i="16"/>
  <c r="E230" i="16"/>
  <c r="M38" i="22"/>
  <c r="L38" i="22"/>
  <c r="K38" i="22"/>
  <c r="J38" i="22"/>
  <c r="I38" i="22"/>
  <c r="C222" i="16"/>
  <c r="B38" i="22" s="1"/>
  <c r="F225" i="16"/>
  <c r="E225" i="16"/>
  <c r="E224" i="16"/>
  <c r="D218" i="16"/>
  <c r="D217" i="16" s="1"/>
  <c r="D216" i="16" s="1"/>
  <c r="D219" i="16"/>
  <c r="F215" i="16"/>
  <c r="G215" i="16" s="1"/>
  <c r="H215" i="16" s="1"/>
  <c r="I215" i="16" s="1"/>
  <c r="C212" i="16"/>
  <c r="D209" i="16"/>
  <c r="D208" i="16" s="1"/>
  <c r="D207" i="16" s="1"/>
  <c r="D206" i="16" s="1"/>
  <c r="F205" i="16"/>
  <c r="G205" i="16" s="1"/>
  <c r="H205" i="16" s="1"/>
  <c r="I205" i="16" s="1"/>
  <c r="M97" i="16"/>
  <c r="L97" i="16"/>
  <c r="C202" i="16"/>
  <c r="C192" i="16"/>
  <c r="F195" i="16"/>
  <c r="G195" i="16" s="1"/>
  <c r="H195" i="16" s="1"/>
  <c r="I195" i="16" s="1"/>
  <c r="I225" i="16" s="1"/>
  <c r="D199" i="16"/>
  <c r="D198" i="16" s="1"/>
  <c r="D197" i="16" s="1"/>
  <c r="D196" i="16" s="1"/>
  <c r="B24" i="22"/>
  <c r="B23" i="22"/>
  <c r="B22" i="22"/>
  <c r="B18" i="22"/>
  <c r="B17" i="22"/>
  <c r="B16" i="22"/>
  <c r="F18" i="22"/>
  <c r="F17" i="22"/>
  <c r="F16" i="22"/>
  <c r="K109" i="16"/>
  <c r="J109" i="16"/>
  <c r="I109" i="16"/>
  <c r="K78" i="16"/>
  <c r="J78" i="16"/>
  <c r="I78" i="16"/>
  <c r="G184" i="16"/>
  <c r="H184" i="16" s="1"/>
  <c r="L167" i="16"/>
  <c r="M167" i="16" s="1"/>
  <c r="N167" i="16" s="1"/>
  <c r="O167" i="16" s="1"/>
  <c r="P167" i="16" s="1"/>
  <c r="Q167" i="16" s="1"/>
  <c r="R167" i="16" s="1"/>
  <c r="S167" i="16" s="1"/>
  <c r="T167" i="16" s="1"/>
  <c r="U167" i="16" s="1"/>
  <c r="V167" i="16" s="1"/>
  <c r="W167" i="16" s="1"/>
  <c r="X167" i="16" s="1"/>
  <c r="Y167" i="16" s="1"/>
  <c r="Z167" i="16" s="1"/>
  <c r="AA167" i="16" s="1"/>
  <c r="P41" i="22" l="1"/>
  <c r="G225" i="16"/>
  <c r="H225" i="16"/>
  <c r="I184" i="16"/>
  <c r="I149" i="16" s="1"/>
  <c r="H149" i="16"/>
  <c r="B8" i="22"/>
  <c r="B7" i="22"/>
  <c r="B6" i="22"/>
  <c r="J116" i="16"/>
  <c r="D116" i="16"/>
  <c r="I176" i="16"/>
  <c r="J176" i="16" s="1"/>
  <c r="K176" i="16" s="1"/>
  <c r="L176" i="16" s="1"/>
  <c r="M176" i="16" s="1"/>
  <c r="N176" i="16" s="1"/>
  <c r="O176" i="16" s="1"/>
  <c r="P176" i="16" s="1"/>
  <c r="Q176" i="16" s="1"/>
  <c r="R176" i="16" s="1"/>
  <c r="S176" i="16" s="1"/>
  <c r="T176" i="16" s="1"/>
  <c r="U176" i="16" s="1"/>
  <c r="V176" i="16" s="1"/>
  <c r="W176" i="16" s="1"/>
  <c r="X176" i="16" s="1"/>
  <c r="Y176" i="16" s="1"/>
  <c r="Z176" i="16" s="1"/>
  <c r="AA176" i="16" s="1"/>
  <c r="P44" i="22"/>
  <c r="N43" i="22"/>
  <c r="P43" i="22" s="1"/>
  <c r="N42" i="22"/>
  <c r="N40" i="22"/>
  <c r="N39" i="22"/>
  <c r="N38" i="22"/>
  <c r="J184" i="16" l="1"/>
  <c r="J149" i="16" s="1"/>
  <c r="P38" i="22"/>
  <c r="P40" i="22"/>
  <c r="P42" i="22"/>
  <c r="P39" i="22"/>
  <c r="K184" i="16" l="1"/>
  <c r="K149" i="16" s="1"/>
  <c r="L184" i="16" l="1"/>
  <c r="L149" i="16" s="1"/>
  <c r="M184" i="16" l="1"/>
  <c r="M149" i="16" s="1"/>
  <c r="N184" i="16" l="1"/>
  <c r="N149" i="16" s="1"/>
  <c r="O184" i="16" l="1"/>
  <c r="O149" i="16" s="1"/>
  <c r="P184" i="16" l="1"/>
  <c r="P149" i="16" s="1"/>
  <c r="Q184" i="16" l="1"/>
  <c r="Q149" i="16" s="1"/>
  <c r="R184" i="16" l="1"/>
  <c r="R149" i="16" s="1"/>
  <c r="S184" i="16" l="1"/>
  <c r="S149" i="16" s="1"/>
  <c r="T184" i="16" l="1"/>
  <c r="T149" i="16" s="1"/>
  <c r="U184" i="16" l="1"/>
  <c r="U149" i="16" s="1"/>
  <c r="V184" i="16" l="1"/>
  <c r="V149" i="16" s="1"/>
  <c r="W184" i="16" l="1"/>
  <c r="W149" i="16" s="1"/>
  <c r="X184" i="16" l="1"/>
  <c r="X149" i="16" s="1"/>
  <c r="Y184" i="16" l="1"/>
  <c r="Y149" i="16" s="1"/>
  <c r="Z184" i="16" l="1"/>
  <c r="Z149" i="16" s="1"/>
  <c r="AA184" i="16" l="1"/>
  <c r="AA149" i="16" s="1"/>
  <c r="E126" i="16" l="1"/>
  <c r="M100" i="16"/>
  <c r="L100" i="16"/>
  <c r="L99" i="16"/>
  <c r="M98" i="16"/>
  <c r="L98" i="16"/>
  <c r="M96" i="16"/>
  <c r="L96" i="16"/>
  <c r="M94" i="16"/>
  <c r="L94" i="16"/>
  <c r="G34" i="20"/>
  <c r="F34" i="20"/>
  <c r="E34" i="20"/>
  <c r="E32" i="20"/>
  <c r="B13" i="17"/>
  <c r="B72" i="17"/>
  <c r="B71" i="17"/>
  <c r="B67" i="17"/>
  <c r="B66" i="17"/>
  <c r="B60" i="17"/>
  <c r="G64" i="17"/>
  <c r="G63" i="17"/>
  <c r="B2" i="21"/>
  <c r="O16" i="21"/>
  <c r="O15" i="21"/>
  <c r="S15" i="21"/>
  <c r="R15" i="21"/>
  <c r="R16" i="21"/>
  <c r="S16" i="21"/>
  <c r="O14" i="21"/>
  <c r="R14" i="21"/>
  <c r="S14" i="21"/>
  <c r="O13" i="21"/>
  <c r="R13" i="21"/>
  <c r="S13" i="21"/>
  <c r="O12" i="21"/>
  <c r="R12" i="21"/>
  <c r="S12" i="21"/>
  <c r="L16" i="21"/>
  <c r="J16" i="21"/>
  <c r="H16" i="21"/>
  <c r="F16" i="21"/>
  <c r="E15" i="21"/>
  <c r="L15" i="21" s="1"/>
  <c r="E14" i="21"/>
  <c r="L14" i="21" s="1"/>
  <c r="E13" i="21"/>
  <c r="L13" i="21" s="1"/>
  <c r="L12" i="21"/>
  <c r="L10" i="21"/>
  <c r="L9" i="21"/>
  <c r="L8" i="21"/>
  <c r="J12" i="21"/>
  <c r="H12" i="21"/>
  <c r="F12" i="21"/>
  <c r="O11" i="21"/>
  <c r="R11" i="21"/>
  <c r="O10" i="21"/>
  <c r="R10" i="21"/>
  <c r="O9" i="21"/>
  <c r="R9" i="21"/>
  <c r="S10" i="21"/>
  <c r="S9" i="21"/>
  <c r="S11" i="21"/>
  <c r="J10" i="21"/>
  <c r="J9" i="21"/>
  <c r="H10" i="21"/>
  <c r="H9" i="21"/>
  <c r="F10" i="21"/>
  <c r="F9" i="21"/>
  <c r="E11" i="21"/>
  <c r="J11" i="21" s="1"/>
  <c r="O8" i="21"/>
  <c r="R8" i="21"/>
  <c r="S8" i="21"/>
  <c r="J8" i="21"/>
  <c r="H8" i="21"/>
  <c r="F8" i="21"/>
  <c r="J94" i="16"/>
  <c r="O27" i="21"/>
  <c r="R27" i="21"/>
  <c r="S27" i="21"/>
  <c r="E27" i="21"/>
  <c r="L27" i="21" s="1"/>
  <c r="O26" i="21"/>
  <c r="R26" i="21"/>
  <c r="S26" i="21"/>
  <c r="E26" i="21"/>
  <c r="L26" i="21" s="1"/>
  <c r="O25" i="21"/>
  <c r="R25" i="21"/>
  <c r="S25" i="21"/>
  <c r="L25" i="21"/>
  <c r="J25" i="21"/>
  <c r="H25" i="21"/>
  <c r="F25" i="21"/>
  <c r="O24" i="21"/>
  <c r="R24" i="21"/>
  <c r="S24" i="21"/>
  <c r="E24" i="21"/>
  <c r="L24" i="21" s="1"/>
  <c r="O23" i="21"/>
  <c r="R23" i="21"/>
  <c r="S23" i="21"/>
  <c r="E23" i="21"/>
  <c r="J15" i="21" l="1"/>
  <c r="F15" i="21"/>
  <c r="H15" i="21"/>
  <c r="F11" i="21"/>
  <c r="L11" i="21"/>
  <c r="H11" i="21"/>
  <c r="F13" i="21"/>
  <c r="H13" i="21"/>
  <c r="J13" i="21"/>
  <c r="F14" i="21"/>
  <c r="H14" i="21"/>
  <c r="J14" i="21"/>
  <c r="F26" i="21"/>
  <c r="H26" i="21"/>
  <c r="J26" i="21"/>
  <c r="F24" i="21"/>
  <c r="H24" i="21"/>
  <c r="F27" i="21"/>
  <c r="J24" i="21"/>
  <c r="H27" i="21"/>
  <c r="J27" i="21"/>
  <c r="C144" i="16"/>
  <c r="C137" i="16"/>
  <c r="C121" i="16"/>
  <c r="J91" i="16"/>
  <c r="J92" i="16" s="1"/>
  <c r="C95" i="16"/>
  <c r="C94" i="16"/>
  <c r="C93" i="16"/>
  <c r="J88" i="16"/>
  <c r="E13" i="20"/>
  <c r="H44" i="20"/>
  <c r="H41" i="20"/>
  <c r="H35" i="20"/>
  <c r="V29" i="21"/>
  <c r="U29" i="21"/>
  <c r="T29" i="21"/>
  <c r="M99" i="16" s="1"/>
  <c r="Q29" i="21"/>
  <c r="P29" i="21"/>
  <c r="K29" i="21"/>
  <c r="I29" i="21"/>
  <c r="G29" i="21"/>
  <c r="D29" i="21"/>
  <c r="O29" i="21"/>
  <c r="L23" i="21"/>
  <c r="V18" i="21"/>
  <c r="U18" i="21"/>
  <c r="T18" i="21"/>
  <c r="Q18" i="21"/>
  <c r="P18" i="21"/>
  <c r="K18" i="21"/>
  <c r="I18" i="21"/>
  <c r="G18" i="21"/>
  <c r="D18" i="21"/>
  <c r="B3" i="21"/>
  <c r="B86" i="16"/>
  <c r="B51" i="16"/>
  <c r="H113" i="16"/>
  <c r="H114" i="16" s="1"/>
  <c r="H111" i="16"/>
  <c r="H110" i="16" s="1"/>
  <c r="I86" i="16"/>
  <c r="D86" i="16"/>
  <c r="P55" i="20"/>
  <c r="Q55" i="20" s="1"/>
  <c r="E35" i="20"/>
  <c r="J93" i="16"/>
  <c r="O18" i="21" l="1"/>
  <c r="S18" i="21"/>
  <c r="H34" i="20"/>
  <c r="E92" i="16"/>
  <c r="H32" i="20" s="1"/>
  <c r="H31" i="20" s="1"/>
  <c r="G35" i="20"/>
  <c r="N18" i="21"/>
  <c r="F35" i="20"/>
  <c r="R55" i="20"/>
  <c r="E18" i="21"/>
  <c r="N29" i="21"/>
  <c r="R29" i="21"/>
  <c r="S29" i="21"/>
  <c r="R18" i="21"/>
  <c r="E29" i="21"/>
  <c r="H23" i="21"/>
  <c r="J23" i="21"/>
  <c r="F23" i="21"/>
  <c r="G55" i="20"/>
  <c r="F55" i="20"/>
  <c r="G59" i="20"/>
  <c r="F59" i="20"/>
  <c r="F137" i="16" s="1"/>
  <c r="E59" i="20"/>
  <c r="E137" i="16" s="1"/>
  <c r="G43" i="20"/>
  <c r="G62" i="20" s="1"/>
  <c r="G144" i="16" s="1"/>
  <c r="F43" i="20"/>
  <c r="F44" i="20" s="1"/>
  <c r="E43" i="20"/>
  <c r="E44" i="20" s="1"/>
  <c r="G41" i="20"/>
  <c r="J98" i="16" s="1"/>
  <c r="F41" i="20"/>
  <c r="E41" i="20"/>
  <c r="E38" i="20"/>
  <c r="G38" i="20"/>
  <c r="F38" i="20"/>
  <c r="G32" i="20"/>
  <c r="F32" i="20"/>
  <c r="I82" i="20"/>
  <c r="J82" i="20" s="1"/>
  <c r="K82" i="20" s="1"/>
  <c r="L82" i="20" s="1"/>
  <c r="M82" i="20" s="1"/>
  <c r="N82" i="20" s="1"/>
  <c r="O82" i="20" s="1"/>
  <c r="P82" i="20" s="1"/>
  <c r="Q82" i="20" s="1"/>
  <c r="R82" i="20" s="1"/>
  <c r="S82" i="20" s="1"/>
  <c r="T82" i="20" s="1"/>
  <c r="U82" i="20" s="1"/>
  <c r="V82" i="20" s="1"/>
  <c r="W82" i="20" s="1"/>
  <c r="X82" i="20" s="1"/>
  <c r="Y82" i="20" s="1"/>
  <c r="Z82" i="20" s="1"/>
  <c r="AA82" i="20" s="1"/>
  <c r="G75" i="20"/>
  <c r="F75" i="20"/>
  <c r="E75" i="20"/>
  <c r="G69" i="20"/>
  <c r="F69" i="20"/>
  <c r="E69" i="20"/>
  <c r="D58" i="20"/>
  <c r="B58" i="20"/>
  <c r="H57" i="20"/>
  <c r="E57" i="20"/>
  <c r="G72" i="20"/>
  <c r="F72" i="20"/>
  <c r="G51" i="20"/>
  <c r="H51" i="20" s="1"/>
  <c r="I51" i="20" s="1"/>
  <c r="J51" i="20" s="1"/>
  <c r="K51" i="20" s="1"/>
  <c r="L51" i="20" s="1"/>
  <c r="M51" i="20" s="1"/>
  <c r="N51" i="20" s="1"/>
  <c r="O51" i="20" s="1"/>
  <c r="P51" i="20" s="1"/>
  <c r="Q51" i="20" s="1"/>
  <c r="R51" i="20" s="1"/>
  <c r="S51" i="20" s="1"/>
  <c r="T51" i="20" s="1"/>
  <c r="U51" i="20" s="1"/>
  <c r="V51" i="20" s="1"/>
  <c r="W51" i="20" s="1"/>
  <c r="X51" i="20" s="1"/>
  <c r="Y51" i="20" s="1"/>
  <c r="Z51" i="20" s="1"/>
  <c r="AA51" i="20" s="1"/>
  <c r="F51" i="20"/>
  <c r="E51" i="20"/>
  <c r="G47" i="20"/>
  <c r="H47" i="20" s="1"/>
  <c r="I47" i="20" s="1"/>
  <c r="J47" i="20" s="1"/>
  <c r="F47" i="20"/>
  <c r="E47" i="20"/>
  <c r="D29" i="20"/>
  <c r="B29" i="20"/>
  <c r="H28" i="20"/>
  <c r="E28" i="20"/>
  <c r="L26" i="20"/>
  <c r="L25" i="20"/>
  <c r="L24" i="20"/>
  <c r="L18" i="20"/>
  <c r="G18" i="20"/>
  <c r="L17" i="20"/>
  <c r="G17" i="20"/>
  <c r="L16" i="20"/>
  <c r="G16" i="20"/>
  <c r="G13" i="20"/>
  <c r="G12" i="20"/>
  <c r="G11" i="20"/>
  <c r="B6" i="20"/>
  <c r="B2" i="20"/>
  <c r="G157" i="16"/>
  <c r="H154" i="16" s="1"/>
  <c r="J53" i="16"/>
  <c r="J19" i="16"/>
  <c r="N69" i="16"/>
  <c r="M69" i="16"/>
  <c r="L69" i="16"/>
  <c r="N68" i="16"/>
  <c r="N67" i="16"/>
  <c r="M67" i="16"/>
  <c r="L67" i="16"/>
  <c r="C120" i="16"/>
  <c r="J67" i="16"/>
  <c r="N65" i="16"/>
  <c r="M65" i="16"/>
  <c r="L65" i="16"/>
  <c r="J65" i="16"/>
  <c r="J62" i="16"/>
  <c r="M60" i="16"/>
  <c r="L60" i="16"/>
  <c r="J60" i="16"/>
  <c r="J59" i="16"/>
  <c r="M56" i="16"/>
  <c r="L56" i="16"/>
  <c r="J56" i="16"/>
  <c r="N30" i="16"/>
  <c r="N23" i="16"/>
  <c r="N22" i="16"/>
  <c r="H82" i="16"/>
  <c r="H83" i="16" s="1"/>
  <c r="H80" i="16"/>
  <c r="H79" i="16" s="1"/>
  <c r="C66" i="16"/>
  <c r="C65" i="16"/>
  <c r="C64" i="16"/>
  <c r="F136" i="16"/>
  <c r="G136" i="16"/>
  <c r="F143" i="16"/>
  <c r="G143" i="16"/>
  <c r="E143" i="16"/>
  <c r="E136" i="16"/>
  <c r="C143" i="16"/>
  <c r="C136" i="16"/>
  <c r="H73" i="18"/>
  <c r="I73" i="18" s="1"/>
  <c r="J73" i="18" s="1"/>
  <c r="K73" i="18" s="1"/>
  <c r="L73" i="18" s="1"/>
  <c r="M73" i="18" s="1"/>
  <c r="N73" i="18" s="1"/>
  <c r="O73" i="18" s="1"/>
  <c r="P73" i="18" s="1"/>
  <c r="Q73" i="18" s="1"/>
  <c r="R73" i="18" s="1"/>
  <c r="S73" i="18" s="1"/>
  <c r="T73" i="18" s="1"/>
  <c r="U73" i="18" s="1"/>
  <c r="V73" i="18" s="1"/>
  <c r="W73" i="18" s="1"/>
  <c r="X73" i="18" s="1"/>
  <c r="Y73" i="18" s="1"/>
  <c r="Z73" i="18" s="1"/>
  <c r="AA73" i="18" s="1"/>
  <c r="H70" i="18"/>
  <c r="H52" i="18"/>
  <c r="I52" i="18" s="1"/>
  <c r="J52" i="18" s="1"/>
  <c r="K52" i="18" s="1"/>
  <c r="L52" i="18" s="1"/>
  <c r="M52" i="18" s="1"/>
  <c r="N52" i="18" s="1"/>
  <c r="O52" i="18" s="1"/>
  <c r="P52" i="18" s="1"/>
  <c r="Q52" i="18" s="1"/>
  <c r="R52" i="18" s="1"/>
  <c r="S52" i="18" s="1"/>
  <c r="T52" i="18" s="1"/>
  <c r="U52" i="18" s="1"/>
  <c r="V52" i="18" s="1"/>
  <c r="W52" i="18" s="1"/>
  <c r="X52" i="18" s="1"/>
  <c r="Y52" i="18" s="1"/>
  <c r="Z52" i="18" s="1"/>
  <c r="AA52" i="18" s="1"/>
  <c r="AA39" i="18"/>
  <c r="Z39" i="18"/>
  <c r="Y39" i="18"/>
  <c r="X39" i="18"/>
  <c r="W39" i="18"/>
  <c r="V39" i="18"/>
  <c r="U39" i="18"/>
  <c r="T39" i="18"/>
  <c r="S39" i="18"/>
  <c r="R39" i="18"/>
  <c r="Q39" i="18"/>
  <c r="P39" i="18"/>
  <c r="O39" i="18"/>
  <c r="N39" i="18"/>
  <c r="M39" i="18"/>
  <c r="L39" i="18"/>
  <c r="H35" i="18"/>
  <c r="H32" i="18"/>
  <c r="I32" i="18" s="1"/>
  <c r="J32" i="18" s="1"/>
  <c r="K32" i="18" s="1"/>
  <c r="L32" i="18" s="1"/>
  <c r="M32" i="18" s="1"/>
  <c r="N32" i="18" s="1"/>
  <c r="O32" i="18" s="1"/>
  <c r="P32" i="18" s="1"/>
  <c r="Q32" i="18" s="1"/>
  <c r="R32" i="18" s="1"/>
  <c r="S32" i="18" s="1"/>
  <c r="T32" i="18" s="1"/>
  <c r="U32" i="18" s="1"/>
  <c r="V32" i="18" s="1"/>
  <c r="W32" i="18" s="1"/>
  <c r="X32" i="18" s="1"/>
  <c r="Y32" i="18" s="1"/>
  <c r="Z32" i="18" s="1"/>
  <c r="AA32" i="18" s="1"/>
  <c r="C119" i="16"/>
  <c r="E13" i="18"/>
  <c r="I51" i="16"/>
  <c r="D51" i="16"/>
  <c r="H37" i="20" l="1"/>
  <c r="H50" i="20"/>
  <c r="G137" i="16"/>
  <c r="J96" i="16"/>
  <c r="J18" i="21"/>
  <c r="F63" i="17" s="1"/>
  <c r="H46" i="20"/>
  <c r="S55" i="20"/>
  <c r="L29" i="21"/>
  <c r="C64" i="17" s="1"/>
  <c r="F18" i="21"/>
  <c r="D63" i="17" s="1"/>
  <c r="H29" i="21"/>
  <c r="E64" i="17" s="1"/>
  <c r="J29" i="21"/>
  <c r="F64" i="17" s="1"/>
  <c r="L18" i="21"/>
  <c r="C63" i="17" s="1"/>
  <c r="H18" i="21"/>
  <c r="E63" i="17" s="1"/>
  <c r="F29" i="21"/>
  <c r="D64" i="17" s="1"/>
  <c r="K47" i="20"/>
  <c r="E62" i="20"/>
  <c r="E144" i="16" s="1"/>
  <c r="F62" i="20"/>
  <c r="G44" i="20"/>
  <c r="J19" i="20"/>
  <c r="O19" i="20"/>
  <c r="F52" i="20"/>
  <c r="G48" i="20"/>
  <c r="G52" i="20"/>
  <c r="F73" i="20"/>
  <c r="F48" i="20"/>
  <c r="F76" i="20"/>
  <c r="G76" i="20"/>
  <c r="J100" i="16" s="1"/>
  <c r="E63" i="16"/>
  <c r="G13" i="18"/>
  <c r="G12" i="18"/>
  <c r="G11" i="18"/>
  <c r="G13" i="14"/>
  <c r="G12" i="14"/>
  <c r="G11" i="14"/>
  <c r="B56" i="17"/>
  <c r="B55" i="17"/>
  <c r="B54" i="17"/>
  <c r="B12" i="17"/>
  <c r="B50" i="17"/>
  <c r="B49" i="17"/>
  <c r="B48" i="17"/>
  <c r="B41" i="17"/>
  <c r="G46" i="17"/>
  <c r="G45" i="17"/>
  <c r="G44" i="17"/>
  <c r="N30" i="19"/>
  <c r="S30" i="19"/>
  <c r="T30" i="19"/>
  <c r="L30" i="19"/>
  <c r="J30" i="19"/>
  <c r="H30" i="19"/>
  <c r="F30" i="19"/>
  <c r="S29" i="19"/>
  <c r="T29" i="19"/>
  <c r="L29" i="19"/>
  <c r="J29" i="19"/>
  <c r="H29" i="19"/>
  <c r="F29" i="19"/>
  <c r="S28" i="19"/>
  <c r="T28" i="19"/>
  <c r="L28" i="19"/>
  <c r="J28" i="19"/>
  <c r="H28" i="19"/>
  <c r="F28" i="19"/>
  <c r="S27" i="19"/>
  <c r="E27" i="19"/>
  <c r="O20" i="19"/>
  <c r="Q20" i="19"/>
  <c r="S20" i="19"/>
  <c r="T20" i="19"/>
  <c r="E20" i="19"/>
  <c r="L20" i="19" s="1"/>
  <c r="Q19" i="19"/>
  <c r="S19" i="19"/>
  <c r="T19" i="19"/>
  <c r="E19" i="19"/>
  <c r="L19" i="19" s="1"/>
  <c r="F88" i="20" l="1"/>
  <c r="F90" i="20" s="1"/>
  <c r="F144" i="16"/>
  <c r="F65" i="20"/>
  <c r="F67" i="20" s="1"/>
  <c r="F78" i="20" s="1"/>
  <c r="F80" i="20" s="1"/>
  <c r="H63" i="17"/>
  <c r="H66" i="17" s="1"/>
  <c r="H64" i="17"/>
  <c r="H67" i="17" s="1"/>
  <c r="E88" i="20"/>
  <c r="T55" i="20"/>
  <c r="L47" i="20"/>
  <c r="F63" i="20"/>
  <c r="E65" i="20"/>
  <c r="E67" i="20" s="1"/>
  <c r="G60" i="20"/>
  <c r="E63" i="20"/>
  <c r="G73" i="20"/>
  <c r="G70" i="20"/>
  <c r="J101" i="16" s="1"/>
  <c r="E76" i="20"/>
  <c r="E70" i="20"/>
  <c r="F70" i="20"/>
  <c r="F60" i="20"/>
  <c r="G88" i="20"/>
  <c r="G65" i="20"/>
  <c r="G67" i="20" s="1"/>
  <c r="G78" i="20" s="1"/>
  <c r="G63" i="20"/>
  <c r="F19" i="19"/>
  <c r="H19" i="19"/>
  <c r="J19" i="19"/>
  <c r="F20" i="19"/>
  <c r="H20" i="19"/>
  <c r="J20" i="19"/>
  <c r="O9" i="19"/>
  <c r="Q18" i="19"/>
  <c r="S18" i="19"/>
  <c r="T18" i="19"/>
  <c r="E18" i="19"/>
  <c r="H18" i="19" s="1"/>
  <c r="Q17" i="19"/>
  <c r="S17" i="19"/>
  <c r="S22" i="19" s="1"/>
  <c r="T22" i="19"/>
  <c r="M66" i="16" s="1"/>
  <c r="L17" i="19"/>
  <c r="J17" i="19"/>
  <c r="H17" i="19"/>
  <c r="F17" i="19"/>
  <c r="T16" i="19"/>
  <c r="S16" i="19"/>
  <c r="Q16" i="19"/>
  <c r="L9" i="19"/>
  <c r="L16" i="19"/>
  <c r="W22" i="19"/>
  <c r="J12" i="18" s="1"/>
  <c r="V22" i="19"/>
  <c r="U22" i="19"/>
  <c r="M68" i="16" s="1"/>
  <c r="R22" i="19"/>
  <c r="P22" i="19"/>
  <c r="N22" i="19"/>
  <c r="K22" i="19"/>
  <c r="I22" i="19"/>
  <c r="G22" i="19"/>
  <c r="D22" i="19"/>
  <c r="Q8" i="19"/>
  <c r="Q9" i="19"/>
  <c r="S9" i="19"/>
  <c r="T9" i="19"/>
  <c r="E9" i="19"/>
  <c r="S8" i="19"/>
  <c r="O8" i="19"/>
  <c r="E8" i="19"/>
  <c r="L8" i="19" s="1"/>
  <c r="K76" i="18"/>
  <c r="L76" i="18" s="1"/>
  <c r="M76" i="18" s="1"/>
  <c r="N76" i="18" s="1"/>
  <c r="O76" i="18" s="1"/>
  <c r="P76" i="18" s="1"/>
  <c r="Q76" i="18" s="1"/>
  <c r="R76" i="18" s="1"/>
  <c r="S76" i="18" s="1"/>
  <c r="T76" i="18" s="1"/>
  <c r="U76" i="18" s="1"/>
  <c r="V76" i="18" s="1"/>
  <c r="W76" i="18" s="1"/>
  <c r="X76" i="18" s="1"/>
  <c r="Y76" i="18" s="1"/>
  <c r="Z76" i="18" s="1"/>
  <c r="AA76" i="18" s="1"/>
  <c r="G60" i="18"/>
  <c r="J63" i="16" s="1"/>
  <c r="F60" i="18"/>
  <c r="H57" i="18"/>
  <c r="I57" i="18" s="1"/>
  <c r="J57" i="18" s="1"/>
  <c r="K57" i="18" s="1"/>
  <c r="L57" i="18" s="1"/>
  <c r="M57" i="18" s="1"/>
  <c r="N57" i="18" s="1"/>
  <c r="O57" i="18" s="1"/>
  <c r="P57" i="18" s="1"/>
  <c r="Q57" i="18" s="1"/>
  <c r="R57" i="18" s="1"/>
  <c r="S57" i="18" s="1"/>
  <c r="T57" i="18" s="1"/>
  <c r="U57" i="18" s="1"/>
  <c r="V57" i="18" s="1"/>
  <c r="W57" i="18" s="1"/>
  <c r="X57" i="18" s="1"/>
  <c r="Y57" i="18" s="1"/>
  <c r="Z57" i="18" s="1"/>
  <c r="AA57" i="18" s="1"/>
  <c r="K62" i="16" s="1"/>
  <c r="F89" i="20" l="1"/>
  <c r="E90" i="20"/>
  <c r="E89" i="20"/>
  <c r="H43" i="20"/>
  <c r="H54" i="20"/>
  <c r="H38" i="20"/>
  <c r="H40" i="20"/>
  <c r="H59" i="20"/>
  <c r="H137" i="16" s="1"/>
  <c r="D110" i="22" s="1"/>
  <c r="U55" i="20"/>
  <c r="M47" i="20"/>
  <c r="G80" i="20"/>
  <c r="G79" i="20"/>
  <c r="G89" i="20"/>
  <c r="G90" i="20"/>
  <c r="J99" i="16" s="1"/>
  <c r="Q11" i="19"/>
  <c r="J18" i="19"/>
  <c r="F18" i="19"/>
  <c r="L18" i="19"/>
  <c r="L22" i="19" s="1"/>
  <c r="C45" i="17" s="1"/>
  <c r="Q22" i="19"/>
  <c r="O22" i="19"/>
  <c r="E22" i="19"/>
  <c r="F16" i="19"/>
  <c r="H16" i="19"/>
  <c r="H22" i="19" s="1"/>
  <c r="E45" i="17" s="1"/>
  <c r="J16" i="19"/>
  <c r="J54" i="18"/>
  <c r="I55" i="18"/>
  <c r="F35" i="18"/>
  <c r="G35" i="18"/>
  <c r="E35" i="18"/>
  <c r="H31" i="18"/>
  <c r="I31" i="18" s="1"/>
  <c r="J31" i="18" s="1"/>
  <c r="G32" i="18"/>
  <c r="F32" i="18"/>
  <c r="G38" i="18"/>
  <c r="E38" i="18"/>
  <c r="F38" i="18"/>
  <c r="E61" i="18"/>
  <c r="H60" i="18"/>
  <c r="K31" i="18" l="1"/>
  <c r="L31" i="18" s="1"/>
  <c r="M31" i="18" s="1"/>
  <c r="N31" i="18" s="1"/>
  <c r="O31" i="18" s="1"/>
  <c r="P31" i="18" s="1"/>
  <c r="Q31" i="18" s="1"/>
  <c r="R31" i="18" s="1"/>
  <c r="S31" i="18" s="1"/>
  <c r="T31" i="18" s="1"/>
  <c r="U31" i="18" s="1"/>
  <c r="V31" i="18" s="1"/>
  <c r="W31" i="18" s="1"/>
  <c r="X31" i="18" s="1"/>
  <c r="Y31" i="18" s="1"/>
  <c r="Z31" i="18" s="1"/>
  <c r="AA31" i="18" s="1"/>
  <c r="J66" i="16"/>
  <c r="H62" i="20"/>
  <c r="H144" i="16" s="1"/>
  <c r="V55" i="20"/>
  <c r="N47" i="20"/>
  <c r="F22" i="19"/>
  <c r="D45" i="17" s="1"/>
  <c r="J22" i="19"/>
  <c r="F45" i="17" s="1"/>
  <c r="F48" i="18"/>
  <c r="F44" i="18"/>
  <c r="G44" i="18"/>
  <c r="G48" i="18"/>
  <c r="E48" i="18"/>
  <c r="E49" i="18" s="1"/>
  <c r="E44" i="18"/>
  <c r="E40" i="18"/>
  <c r="E41" i="18" s="1"/>
  <c r="E51" i="18" s="1"/>
  <c r="E52" i="18" s="1"/>
  <c r="F40" i="18"/>
  <c r="F41" i="18" s="1"/>
  <c r="F51" i="18" s="1"/>
  <c r="G40" i="18"/>
  <c r="G41" i="18" s="1"/>
  <c r="G51" i="18" s="1"/>
  <c r="I60" i="18"/>
  <c r="H65" i="18"/>
  <c r="K54" i="18"/>
  <c r="H34" i="18"/>
  <c r="H36" i="18" s="1"/>
  <c r="F61" i="18"/>
  <c r="G61" i="18"/>
  <c r="G58" i="18"/>
  <c r="F58" i="18"/>
  <c r="E72" i="18"/>
  <c r="F72" i="18"/>
  <c r="G72" i="18"/>
  <c r="G36" i="18"/>
  <c r="E36" i="18"/>
  <c r="F36" i="18"/>
  <c r="W32" i="19"/>
  <c r="J13" i="18" s="1"/>
  <c r="V32" i="19"/>
  <c r="U32" i="19"/>
  <c r="R32" i="19"/>
  <c r="P32" i="19"/>
  <c r="K32" i="19"/>
  <c r="I32" i="19"/>
  <c r="G32" i="19"/>
  <c r="D32" i="19"/>
  <c r="F27" i="19"/>
  <c r="W11" i="19"/>
  <c r="J11" i="18" s="1"/>
  <c r="V11" i="19"/>
  <c r="U11" i="19"/>
  <c r="L68" i="16" s="1"/>
  <c r="R11" i="19"/>
  <c r="P11" i="19"/>
  <c r="O11" i="19"/>
  <c r="N11" i="19"/>
  <c r="I11" i="19"/>
  <c r="G11" i="19"/>
  <c r="D11" i="19"/>
  <c r="K11" i="19"/>
  <c r="B3" i="19"/>
  <c r="B2" i="19"/>
  <c r="I103" i="18"/>
  <c r="J103" i="18" s="1"/>
  <c r="K103" i="18" s="1"/>
  <c r="L103" i="18" s="1"/>
  <c r="M103" i="18" s="1"/>
  <c r="N103" i="18" s="1"/>
  <c r="O103" i="18" s="1"/>
  <c r="P103" i="18" s="1"/>
  <c r="Q103" i="18" s="1"/>
  <c r="R103" i="18" s="1"/>
  <c r="S103" i="18" s="1"/>
  <c r="T103" i="18" s="1"/>
  <c r="U103" i="18" s="1"/>
  <c r="V103" i="18" s="1"/>
  <c r="W103" i="18" s="1"/>
  <c r="X103" i="18" s="1"/>
  <c r="Y103" i="18" s="1"/>
  <c r="Z103" i="18" s="1"/>
  <c r="AA103" i="18" s="1"/>
  <c r="G96" i="18"/>
  <c r="G171" i="16" s="1"/>
  <c r="F96" i="18"/>
  <c r="F171" i="16" s="1"/>
  <c r="E96" i="18"/>
  <c r="E171" i="16" s="1"/>
  <c r="G90" i="18"/>
  <c r="G165" i="16" s="1"/>
  <c r="F90" i="18"/>
  <c r="F165" i="16" s="1"/>
  <c r="E90" i="18"/>
  <c r="E165" i="16" s="1"/>
  <c r="D79" i="18"/>
  <c r="B79" i="18"/>
  <c r="H78" i="18"/>
  <c r="E78" i="18"/>
  <c r="G66" i="18"/>
  <c r="G70" i="18" s="1"/>
  <c r="F66" i="18"/>
  <c r="F70" i="18" s="1"/>
  <c r="E66" i="18"/>
  <c r="E80" i="18" s="1"/>
  <c r="D29" i="18"/>
  <c r="B29" i="18"/>
  <c r="H28" i="18"/>
  <c r="E28" i="18"/>
  <c r="L26" i="18"/>
  <c r="L25" i="18"/>
  <c r="L24" i="18"/>
  <c r="L18" i="18"/>
  <c r="G18" i="18"/>
  <c r="L17" i="18"/>
  <c r="G17" i="18"/>
  <c r="L16" i="18"/>
  <c r="G16" i="18"/>
  <c r="B6" i="18"/>
  <c r="B2" i="18"/>
  <c r="H45" i="17" l="1"/>
  <c r="H49" i="17" s="1"/>
  <c r="W55" i="20"/>
  <c r="O47" i="20"/>
  <c r="H51" i="18"/>
  <c r="I51" i="18" s="1"/>
  <c r="J51" i="18" s="1"/>
  <c r="J57" i="16"/>
  <c r="G52" i="18"/>
  <c r="E45" i="18"/>
  <c r="H44" i="18"/>
  <c r="F49" i="18"/>
  <c r="E32" i="19"/>
  <c r="E11" i="19"/>
  <c r="O32" i="19"/>
  <c r="T11" i="19"/>
  <c r="L66" i="16" s="1"/>
  <c r="F52" i="18"/>
  <c r="H48" i="18"/>
  <c r="G49" i="18"/>
  <c r="O19" i="18"/>
  <c r="I44" i="18"/>
  <c r="J60" i="18"/>
  <c r="I65" i="18"/>
  <c r="L54" i="18"/>
  <c r="H38" i="18"/>
  <c r="H40" i="18" s="1"/>
  <c r="H64" i="18" s="1"/>
  <c r="J19" i="18"/>
  <c r="F45" i="18"/>
  <c r="G45" i="18"/>
  <c r="G93" i="18"/>
  <c r="F93" i="18"/>
  <c r="E97" i="18"/>
  <c r="F67" i="18"/>
  <c r="G67" i="18"/>
  <c r="F80" i="18"/>
  <c r="F97" i="18" s="1"/>
  <c r="G83" i="18"/>
  <c r="G86" i="18" s="1"/>
  <c r="G80" i="18"/>
  <c r="G91" i="18" s="1"/>
  <c r="J70" i="16" s="1"/>
  <c r="F83" i="18"/>
  <c r="F109" i="18" s="1"/>
  <c r="F8" i="19"/>
  <c r="H8" i="19"/>
  <c r="H27" i="19"/>
  <c r="J27" i="19"/>
  <c r="L27" i="19"/>
  <c r="J9" i="19"/>
  <c r="F9" i="19"/>
  <c r="H9" i="19"/>
  <c r="E83" i="18"/>
  <c r="E70" i="18"/>
  <c r="E73" i="18"/>
  <c r="N32" i="19"/>
  <c r="E91" i="18"/>
  <c r="J8" i="19"/>
  <c r="S11" i="19"/>
  <c r="S32" i="19"/>
  <c r="F73" i="18"/>
  <c r="G73" i="18"/>
  <c r="T32" i="19"/>
  <c r="N66" i="16" s="1"/>
  <c r="X55" i="20" l="1"/>
  <c r="G88" i="18"/>
  <c r="G99" i="18" s="1"/>
  <c r="G101" i="18" s="1"/>
  <c r="P47" i="20"/>
  <c r="F32" i="19"/>
  <c r="D46" i="17" s="1"/>
  <c r="J32" i="19"/>
  <c r="F46" i="17" s="1"/>
  <c r="H43" i="18"/>
  <c r="J44" i="18"/>
  <c r="H47" i="18"/>
  <c r="I48" i="18"/>
  <c r="K60" i="18"/>
  <c r="J65" i="18"/>
  <c r="H41" i="18"/>
  <c r="H63" i="18" s="1"/>
  <c r="H66" i="18" s="1"/>
  <c r="H67" i="18" s="1"/>
  <c r="M54" i="18"/>
  <c r="K51" i="18"/>
  <c r="G76" i="18"/>
  <c r="G97" i="18"/>
  <c r="J69" i="16" s="1"/>
  <c r="F86" i="18"/>
  <c r="F88" i="18" s="1"/>
  <c r="F99" i="18" s="1"/>
  <c r="F84" i="18"/>
  <c r="F76" i="18"/>
  <c r="G94" i="18"/>
  <c r="F94" i="18"/>
  <c r="F81" i="18"/>
  <c r="G109" i="18"/>
  <c r="G111" i="18" s="1"/>
  <c r="J68" i="16" s="1"/>
  <c r="F91" i="18"/>
  <c r="G81" i="18"/>
  <c r="G84" i="18"/>
  <c r="E109" i="18"/>
  <c r="F110" i="18" s="1"/>
  <c r="E84" i="18"/>
  <c r="E86" i="18"/>
  <c r="E88" i="18" s="1"/>
  <c r="F11" i="19"/>
  <c r="D44" i="17" s="1"/>
  <c r="L32" i="19"/>
  <c r="C46" i="17" s="1"/>
  <c r="L11" i="19"/>
  <c r="C44" i="17" s="1"/>
  <c r="H32" i="19"/>
  <c r="E46" i="17" s="1"/>
  <c r="H11" i="19"/>
  <c r="E44" i="17" s="1"/>
  <c r="F111" i="18"/>
  <c r="J11" i="19"/>
  <c r="F44" i="17" s="1"/>
  <c r="G18" i="14"/>
  <c r="G17" i="14"/>
  <c r="G16" i="14"/>
  <c r="L18" i="14"/>
  <c r="L17" i="14"/>
  <c r="L16" i="14"/>
  <c r="C38" i="16"/>
  <c r="C37" i="16"/>
  <c r="C36" i="16"/>
  <c r="B76" i="14"/>
  <c r="H44" i="16"/>
  <c r="H45" i="16" s="1"/>
  <c r="H42" i="16"/>
  <c r="H41" i="16" s="1"/>
  <c r="E13" i="14"/>
  <c r="D76" i="14"/>
  <c r="H75" i="14"/>
  <c r="E75" i="14"/>
  <c r="D29" i="14"/>
  <c r="H28" i="14"/>
  <c r="E28" i="14"/>
  <c r="H46" i="17" l="1"/>
  <c r="H50" i="17" s="1"/>
  <c r="H44" i="17"/>
  <c r="H48" i="17" s="1"/>
  <c r="Y55" i="20"/>
  <c r="Q47" i="20"/>
  <c r="H96" i="18"/>
  <c r="O19" i="14"/>
  <c r="K44" i="18"/>
  <c r="J48" i="18"/>
  <c r="L60" i="18"/>
  <c r="K65" i="18"/>
  <c r="L51" i="18"/>
  <c r="N54" i="18"/>
  <c r="G100" i="18"/>
  <c r="G110" i="18"/>
  <c r="F101" i="18"/>
  <c r="E111" i="18"/>
  <c r="E110" i="18"/>
  <c r="E25" i="16"/>
  <c r="J26" i="16"/>
  <c r="M30" i="16"/>
  <c r="M22" i="16"/>
  <c r="L22" i="16"/>
  <c r="I17" i="16"/>
  <c r="D17" i="16"/>
  <c r="J23" i="16"/>
  <c r="J22" i="16"/>
  <c r="J5" i="16"/>
  <c r="B17" i="16"/>
  <c r="E42" i="14"/>
  <c r="E38" i="14"/>
  <c r="G38" i="14"/>
  <c r="H38" i="14" s="1"/>
  <c r="I38" i="14" s="1"/>
  <c r="J38" i="14" s="1"/>
  <c r="K38" i="14" s="1"/>
  <c r="L38" i="14" s="1"/>
  <c r="M38" i="14" s="1"/>
  <c r="N38" i="14" s="1"/>
  <c r="O38" i="14" s="1"/>
  <c r="P38" i="14" s="1"/>
  <c r="Q38" i="14" s="1"/>
  <c r="R38" i="14" s="1"/>
  <c r="S38" i="14" s="1"/>
  <c r="T38" i="14" s="1"/>
  <c r="U38" i="14" s="1"/>
  <c r="V38" i="14" s="1"/>
  <c r="W38" i="14" s="1"/>
  <c r="X38" i="14" s="1"/>
  <c r="Y38" i="14" s="1"/>
  <c r="Z38" i="14" s="1"/>
  <c r="AA38" i="14" s="1"/>
  <c r="F38" i="14"/>
  <c r="G169" i="16"/>
  <c r="F169" i="16"/>
  <c r="E169" i="16"/>
  <c r="C142" i="16"/>
  <c r="C135" i="16"/>
  <c r="G132" i="16"/>
  <c r="H48" i="14"/>
  <c r="G31" i="14"/>
  <c r="B2" i="16"/>
  <c r="G69" i="14"/>
  <c r="F69" i="14"/>
  <c r="E69" i="14"/>
  <c r="B11" i="17"/>
  <c r="B22" i="17"/>
  <c r="B3" i="15"/>
  <c r="B2" i="15"/>
  <c r="B3" i="17"/>
  <c r="B2" i="17"/>
  <c r="B37" i="17"/>
  <c r="B36" i="17"/>
  <c r="B35" i="17"/>
  <c r="B31" i="17"/>
  <c r="B30" i="17"/>
  <c r="B29" i="17"/>
  <c r="G27" i="17"/>
  <c r="G26" i="17"/>
  <c r="G25" i="17"/>
  <c r="F20" i="17"/>
  <c r="G19" i="17"/>
  <c r="G18" i="17"/>
  <c r="G17" i="17"/>
  <c r="G16" i="17"/>
  <c r="F8" i="17"/>
  <c r="E33" i="16"/>
  <c r="B29" i="14"/>
  <c r="B6" i="14"/>
  <c r="B2" i="14"/>
  <c r="H71" i="17" l="1"/>
  <c r="H72" i="17"/>
  <c r="M102" i="16" s="1"/>
  <c r="H56" i="17"/>
  <c r="N71" i="16" s="1"/>
  <c r="H54" i="17"/>
  <c r="H55" i="17"/>
  <c r="M71" i="16" s="1"/>
  <c r="Z55" i="20"/>
  <c r="R47" i="20"/>
  <c r="G58" i="20"/>
  <c r="G29" i="20"/>
  <c r="L44" i="18"/>
  <c r="K48" i="18"/>
  <c r="M60" i="18"/>
  <c r="L65" i="18"/>
  <c r="O54" i="18"/>
  <c r="M51" i="18"/>
  <c r="G44" i="14"/>
  <c r="G29" i="18"/>
  <c r="G79" i="18"/>
  <c r="E35" i="16"/>
  <c r="H132" i="16"/>
  <c r="G76" i="14"/>
  <c r="G29" i="14"/>
  <c r="F132" i="16"/>
  <c r="G20" i="17"/>
  <c r="E127" i="16" s="1"/>
  <c r="F11" i="22" s="1"/>
  <c r="E88" i="16" l="1"/>
  <c r="E12" i="20" s="1"/>
  <c r="L102" i="16"/>
  <c r="L71" i="16"/>
  <c r="E53" i="16"/>
  <c r="H58" i="17"/>
  <c r="H74" i="17"/>
  <c r="AA55" i="20"/>
  <c r="S47" i="20"/>
  <c r="F58" i="20"/>
  <c r="F29" i="20"/>
  <c r="H58" i="20"/>
  <c r="H29" i="20"/>
  <c r="M44" i="18"/>
  <c r="L48" i="18"/>
  <c r="N60" i="18"/>
  <c r="M65" i="18"/>
  <c r="N51" i="18"/>
  <c r="P54" i="18"/>
  <c r="F29" i="18"/>
  <c r="F79" i="18"/>
  <c r="H79" i="18"/>
  <c r="H29" i="18"/>
  <c r="E132" i="16"/>
  <c r="F29" i="14"/>
  <c r="F76" i="14"/>
  <c r="I132" i="16"/>
  <c r="H76" i="14"/>
  <c r="H29" i="14"/>
  <c r="N43" i="15"/>
  <c r="E43" i="15"/>
  <c r="J43" i="15" s="1"/>
  <c r="O42" i="15"/>
  <c r="N42" i="15" s="1"/>
  <c r="N41" i="15"/>
  <c r="E41" i="15"/>
  <c r="H41" i="15" s="1"/>
  <c r="N40" i="15"/>
  <c r="O40" i="15"/>
  <c r="R40" i="15"/>
  <c r="S40" i="15"/>
  <c r="L40" i="15"/>
  <c r="J40" i="15"/>
  <c r="H40" i="15"/>
  <c r="F40" i="15"/>
  <c r="E39" i="15"/>
  <c r="L39" i="15" s="1"/>
  <c r="N39" i="15"/>
  <c r="O39" i="15"/>
  <c r="E38" i="15"/>
  <c r="L38" i="15" s="1"/>
  <c r="N38" i="15"/>
  <c r="R38" i="15"/>
  <c r="S38" i="15"/>
  <c r="N37" i="15"/>
  <c r="E37" i="15"/>
  <c r="L37" i="15" s="1"/>
  <c r="N36" i="15"/>
  <c r="E36" i="15"/>
  <c r="L36" i="15" s="1"/>
  <c r="D45" i="15"/>
  <c r="E42" i="15"/>
  <c r="J42" i="15" s="1"/>
  <c r="V45" i="15"/>
  <c r="U45" i="15"/>
  <c r="T45" i="15"/>
  <c r="M31" i="16" s="1"/>
  <c r="Q45" i="15"/>
  <c r="P45" i="15"/>
  <c r="M28" i="16" s="1"/>
  <c r="K45" i="15"/>
  <c r="I45" i="15"/>
  <c r="G45" i="15"/>
  <c r="E29" i="15"/>
  <c r="H29" i="15" s="1"/>
  <c r="E28" i="15"/>
  <c r="L28" i="15" s="1"/>
  <c r="N28" i="15"/>
  <c r="O28" i="15"/>
  <c r="V31" i="15"/>
  <c r="U31" i="15"/>
  <c r="T31" i="15"/>
  <c r="L31" i="16" s="1"/>
  <c r="Q31" i="15"/>
  <c r="L30" i="16" s="1"/>
  <c r="P31" i="15"/>
  <c r="L28" i="16" s="1"/>
  <c r="N27" i="15"/>
  <c r="E27" i="15"/>
  <c r="L27" i="15" s="1"/>
  <c r="N26" i="15"/>
  <c r="R26" i="15"/>
  <c r="E26" i="15"/>
  <c r="L26" i="15" s="1"/>
  <c r="N25" i="15"/>
  <c r="E25" i="15"/>
  <c r="H25" i="15" s="1"/>
  <c r="N24" i="15"/>
  <c r="L24" i="15"/>
  <c r="J24" i="15"/>
  <c r="H24" i="15"/>
  <c r="F24" i="15"/>
  <c r="N23" i="15"/>
  <c r="E23" i="15"/>
  <c r="J23" i="15" s="1"/>
  <c r="O22" i="15"/>
  <c r="E22" i="15"/>
  <c r="H22" i="15" s="1"/>
  <c r="O17" i="15"/>
  <c r="N17" i="15"/>
  <c r="I31" i="15"/>
  <c r="G31" i="15"/>
  <c r="D31" i="15"/>
  <c r="K31" i="15"/>
  <c r="Q17" i="15"/>
  <c r="P17" i="15"/>
  <c r="N28" i="16" s="1"/>
  <c r="R15" i="15"/>
  <c r="E15" i="15"/>
  <c r="L15" i="15" s="1"/>
  <c r="R14" i="15"/>
  <c r="E14" i="15"/>
  <c r="L14" i="15" s="1"/>
  <c r="S13" i="15"/>
  <c r="R13" i="15"/>
  <c r="E13" i="15"/>
  <c r="F13" i="15" s="1"/>
  <c r="R12" i="15"/>
  <c r="S12" i="15"/>
  <c r="E12" i="15"/>
  <c r="L12" i="15" s="1"/>
  <c r="R11" i="15"/>
  <c r="E11" i="15"/>
  <c r="L11" i="15" s="1"/>
  <c r="R10" i="15"/>
  <c r="S10" i="15"/>
  <c r="E10" i="15"/>
  <c r="L10" i="15" s="1"/>
  <c r="E9" i="15"/>
  <c r="L9" i="15" s="1"/>
  <c r="S9" i="15"/>
  <c r="S8" i="15"/>
  <c r="K8" i="15"/>
  <c r="E8" i="15"/>
  <c r="I100" i="14"/>
  <c r="J100" i="14" s="1"/>
  <c r="K100" i="14" s="1"/>
  <c r="L100" i="14" s="1"/>
  <c r="M100" i="14" s="1"/>
  <c r="N100" i="14" s="1"/>
  <c r="O100" i="14" s="1"/>
  <c r="P100" i="14" s="1"/>
  <c r="Q100" i="14" s="1"/>
  <c r="R100" i="14" s="1"/>
  <c r="S100" i="14" s="1"/>
  <c r="T100" i="14" s="1"/>
  <c r="U100" i="14" s="1"/>
  <c r="V100" i="14" s="1"/>
  <c r="W100" i="14" s="1"/>
  <c r="X100" i="14" s="1"/>
  <c r="Y100" i="14" s="1"/>
  <c r="Z100" i="14" s="1"/>
  <c r="AA100" i="14" s="1"/>
  <c r="H31" i="14"/>
  <c r="I31" i="14" s="1"/>
  <c r="J31" i="14" s="1"/>
  <c r="K31" i="14" s="1"/>
  <c r="L31" i="14" s="1"/>
  <c r="M31" i="14" s="1"/>
  <c r="N31" i="14" s="1"/>
  <c r="O31" i="14" s="1"/>
  <c r="P31" i="14" s="1"/>
  <c r="Q31" i="14" s="1"/>
  <c r="R31" i="14" s="1"/>
  <c r="S31" i="14" s="1"/>
  <c r="T31" i="14" s="1"/>
  <c r="U31" i="14" s="1"/>
  <c r="V31" i="14" s="1"/>
  <c r="W31" i="14" s="1"/>
  <c r="X31" i="14" s="1"/>
  <c r="Y31" i="14" s="1"/>
  <c r="Z31" i="14" s="1"/>
  <c r="AA31" i="14" s="1"/>
  <c r="L26" i="14"/>
  <c r="L25" i="14"/>
  <c r="L24" i="14"/>
  <c r="G93" i="14"/>
  <c r="F93" i="14"/>
  <c r="E93" i="14"/>
  <c r="G87" i="14"/>
  <c r="F87" i="14"/>
  <c r="E87" i="14"/>
  <c r="M73" i="14"/>
  <c r="N73" i="14" s="1"/>
  <c r="O73" i="14" s="1"/>
  <c r="P73" i="14" s="1"/>
  <c r="Q73" i="14" s="1"/>
  <c r="R73" i="14" s="1"/>
  <c r="S73" i="14" s="1"/>
  <c r="T73" i="14" s="1"/>
  <c r="U73" i="14" s="1"/>
  <c r="V73" i="14" s="1"/>
  <c r="W73" i="14" s="1"/>
  <c r="X73" i="14" s="1"/>
  <c r="Y73" i="14" s="1"/>
  <c r="Z73" i="14" s="1"/>
  <c r="AA73" i="14" s="1"/>
  <c r="G65" i="14"/>
  <c r="F65" i="14"/>
  <c r="E65" i="14"/>
  <c r="J13" i="20" l="1"/>
  <c r="J13" i="14"/>
  <c r="J12" i="20"/>
  <c r="J12" i="14"/>
  <c r="J102" i="16"/>
  <c r="E90" i="16"/>
  <c r="E14" i="20" s="1"/>
  <c r="J71" i="16"/>
  <c r="E12" i="18"/>
  <c r="E55" i="16"/>
  <c r="T47" i="20"/>
  <c r="E58" i="20"/>
  <c r="E29" i="20"/>
  <c r="I58" i="20"/>
  <c r="I29" i="20"/>
  <c r="N44" i="18"/>
  <c r="M48" i="18"/>
  <c r="O60" i="18"/>
  <c r="N65" i="18"/>
  <c r="Q54" i="18"/>
  <c r="O51" i="18"/>
  <c r="I79" i="18"/>
  <c r="I29" i="18"/>
  <c r="E79" i="18"/>
  <c r="E29" i="18"/>
  <c r="J132" i="16"/>
  <c r="I76" i="14"/>
  <c r="I29" i="14"/>
  <c r="E76" i="14"/>
  <c r="E29" i="14"/>
  <c r="O45" i="15"/>
  <c r="R45" i="15"/>
  <c r="M32" i="16" s="1"/>
  <c r="H38" i="15"/>
  <c r="L42" i="15"/>
  <c r="S45" i="15"/>
  <c r="M29" i="16" s="1"/>
  <c r="N45" i="15"/>
  <c r="M23" i="16" s="1"/>
  <c r="F38" i="15"/>
  <c r="F41" i="15"/>
  <c r="F36" i="15"/>
  <c r="J41" i="15"/>
  <c r="H36" i="15"/>
  <c r="L41" i="15"/>
  <c r="J39" i="15"/>
  <c r="F43" i="15"/>
  <c r="L43" i="15"/>
  <c r="J38" i="15"/>
  <c r="J36" i="15"/>
  <c r="F39" i="15"/>
  <c r="H39" i="15"/>
  <c r="J37" i="15"/>
  <c r="H43" i="15"/>
  <c r="F37" i="15"/>
  <c r="H37" i="15"/>
  <c r="O31" i="15"/>
  <c r="F42" i="15"/>
  <c r="H42" i="15"/>
  <c r="E45" i="15"/>
  <c r="J25" i="15"/>
  <c r="L25" i="15"/>
  <c r="F25" i="15"/>
  <c r="S31" i="15"/>
  <c r="L29" i="16" s="1"/>
  <c r="H23" i="15"/>
  <c r="F28" i="15"/>
  <c r="J28" i="15"/>
  <c r="F27" i="15"/>
  <c r="H27" i="15"/>
  <c r="J27" i="15"/>
  <c r="F29" i="15"/>
  <c r="J29" i="15"/>
  <c r="R31" i="15"/>
  <c r="L32" i="16" s="1"/>
  <c r="L29" i="15"/>
  <c r="F26" i="15"/>
  <c r="H26" i="15"/>
  <c r="J26" i="15"/>
  <c r="H28" i="15"/>
  <c r="N31" i="15"/>
  <c r="L23" i="16" s="1"/>
  <c r="F22" i="15"/>
  <c r="L22" i="15"/>
  <c r="J22" i="15"/>
  <c r="L23" i="15"/>
  <c r="F23" i="15"/>
  <c r="E31" i="15"/>
  <c r="R17" i="15"/>
  <c r="N32" i="16" s="1"/>
  <c r="H13" i="15"/>
  <c r="F15" i="15"/>
  <c r="H15" i="15"/>
  <c r="J15" i="15"/>
  <c r="J13" i="15"/>
  <c r="F12" i="15"/>
  <c r="L13" i="15"/>
  <c r="F14" i="15"/>
  <c r="F11" i="15"/>
  <c r="H14" i="15"/>
  <c r="H12" i="15"/>
  <c r="J12" i="15"/>
  <c r="J14" i="15"/>
  <c r="H11" i="15"/>
  <c r="J11" i="15"/>
  <c r="J10" i="15"/>
  <c r="H10" i="15"/>
  <c r="F10" i="15"/>
  <c r="H9" i="15"/>
  <c r="J9" i="15"/>
  <c r="F9" i="15"/>
  <c r="G70" i="14"/>
  <c r="F70" i="14"/>
  <c r="K102" i="16" l="1"/>
  <c r="E14" i="18"/>
  <c r="K71" i="16"/>
  <c r="U47" i="20"/>
  <c r="J58" i="20"/>
  <c r="J29" i="20"/>
  <c r="O44" i="18"/>
  <c r="N48" i="18"/>
  <c r="P60" i="18"/>
  <c r="O65" i="18"/>
  <c r="P51" i="18"/>
  <c r="R54" i="18"/>
  <c r="J29" i="18"/>
  <c r="J79" i="18"/>
  <c r="K132" i="16"/>
  <c r="J76" i="14"/>
  <c r="J29" i="14"/>
  <c r="L45" i="15"/>
  <c r="C27" i="17" s="1"/>
  <c r="J45" i="15"/>
  <c r="F27" i="17" s="1"/>
  <c r="H45" i="15"/>
  <c r="E27" i="17" s="1"/>
  <c r="F45" i="15"/>
  <c r="D27" i="17" s="1"/>
  <c r="F31" i="15"/>
  <c r="D26" i="17" s="1"/>
  <c r="L31" i="15"/>
  <c r="C26" i="17" s="1"/>
  <c r="H31" i="15"/>
  <c r="E26" i="17" s="1"/>
  <c r="J31" i="15"/>
  <c r="F26" i="17" s="1"/>
  <c r="H27" i="17" l="1"/>
  <c r="H31" i="17" s="1"/>
  <c r="H37" i="17" s="1"/>
  <c r="M33" i="16" s="1"/>
  <c r="H26" i="17"/>
  <c r="H30" i="17" s="1"/>
  <c r="H36" i="17" s="1"/>
  <c r="E19" i="16" s="1"/>
  <c r="H83" i="20" s="1"/>
  <c r="H84" i="20" s="1"/>
  <c r="V47" i="20"/>
  <c r="K58" i="20"/>
  <c r="K29" i="20"/>
  <c r="H104" i="18"/>
  <c r="H105" i="18" s="1"/>
  <c r="P44" i="18"/>
  <c r="O48" i="18"/>
  <c r="Q60" i="18"/>
  <c r="P65" i="18"/>
  <c r="S54" i="18"/>
  <c r="Q51" i="18"/>
  <c r="K79" i="18"/>
  <c r="K29" i="18"/>
  <c r="L132" i="16"/>
  <c r="K76" i="14"/>
  <c r="K29" i="14"/>
  <c r="E61" i="14"/>
  <c r="F61" i="14"/>
  <c r="G61" i="14"/>
  <c r="F66" i="14"/>
  <c r="H47" i="14"/>
  <c r="H37" i="14"/>
  <c r="I37" i="14" s="1"/>
  <c r="E50" i="14"/>
  <c r="F50" i="14"/>
  <c r="G50" i="14"/>
  <c r="J25" i="16" s="1"/>
  <c r="E48" i="14"/>
  <c r="G48" i="14"/>
  <c r="F48" i="14"/>
  <c r="E44" i="14"/>
  <c r="E45" i="14" s="1"/>
  <c r="F44" i="14"/>
  <c r="F35" i="14"/>
  <c r="G35" i="14"/>
  <c r="E35" i="14"/>
  <c r="G32" i="14"/>
  <c r="F32" i="14"/>
  <c r="F40" i="14"/>
  <c r="F41" i="14" s="1"/>
  <c r="F42" i="14" s="1"/>
  <c r="G40" i="14"/>
  <c r="G41" i="14" s="1"/>
  <c r="G42" i="14" s="1"/>
  <c r="F55" i="14"/>
  <c r="F90" i="14" s="1"/>
  <c r="G55" i="14"/>
  <c r="J28" i="16" s="1"/>
  <c r="E55" i="14"/>
  <c r="L33" i="16" l="1"/>
  <c r="E12" i="14"/>
  <c r="H101" i="14" s="1"/>
  <c r="E21" i="16"/>
  <c r="K33" i="16" s="1"/>
  <c r="J33" i="16"/>
  <c r="W47" i="20"/>
  <c r="L58" i="20"/>
  <c r="L29" i="20"/>
  <c r="AA83" i="20"/>
  <c r="I83" i="20" s="1"/>
  <c r="J83" i="20" s="1"/>
  <c r="K83" i="20" s="1"/>
  <c r="L83" i="20" s="1"/>
  <c r="M83" i="20" s="1"/>
  <c r="N83" i="20" s="1"/>
  <c r="O83" i="20" s="1"/>
  <c r="P83" i="20" s="1"/>
  <c r="Q83" i="20" s="1"/>
  <c r="R83" i="20" s="1"/>
  <c r="S83" i="20" s="1"/>
  <c r="T83" i="20" s="1"/>
  <c r="U83" i="20" s="1"/>
  <c r="V83" i="20" s="1"/>
  <c r="W83" i="20" s="1"/>
  <c r="X83" i="20" s="1"/>
  <c r="Y83" i="20" s="1"/>
  <c r="Z83" i="20" s="1"/>
  <c r="Q44" i="18"/>
  <c r="P48" i="18"/>
  <c r="R60" i="18"/>
  <c r="Q65" i="18"/>
  <c r="R51" i="18"/>
  <c r="T54" i="18"/>
  <c r="L79" i="18"/>
  <c r="L29" i="18"/>
  <c r="E14" i="14"/>
  <c r="AA101" i="14" s="1"/>
  <c r="AA104" i="18"/>
  <c r="I104" i="18" s="1"/>
  <c r="J104" i="18" s="1"/>
  <c r="K104" i="18" s="1"/>
  <c r="L104" i="18" s="1"/>
  <c r="M104" i="18" s="1"/>
  <c r="N104" i="18" s="1"/>
  <c r="O104" i="18" s="1"/>
  <c r="P104" i="18" s="1"/>
  <c r="Q104" i="18" s="1"/>
  <c r="R104" i="18" s="1"/>
  <c r="S104" i="18" s="1"/>
  <c r="T104" i="18" s="1"/>
  <c r="U104" i="18" s="1"/>
  <c r="V104" i="18" s="1"/>
  <c r="W104" i="18" s="1"/>
  <c r="X104" i="18" s="1"/>
  <c r="Y104" i="18" s="1"/>
  <c r="Z104" i="18" s="1"/>
  <c r="M132" i="16"/>
  <c r="L76" i="14"/>
  <c r="L29" i="14"/>
  <c r="G90" i="14"/>
  <c r="G77" i="14"/>
  <c r="G135" i="16" s="1"/>
  <c r="G138" i="16" s="1"/>
  <c r="G80" i="14"/>
  <c r="G45" i="14"/>
  <c r="F73" i="14"/>
  <c r="G66" i="14"/>
  <c r="H66" i="14" s="1"/>
  <c r="F45" i="14"/>
  <c r="G59" i="14"/>
  <c r="J30" i="16" s="1"/>
  <c r="F59" i="14"/>
  <c r="F80" i="14"/>
  <c r="F77" i="14"/>
  <c r="F135" i="16" s="1"/>
  <c r="F138" i="16" s="1"/>
  <c r="E59" i="14"/>
  <c r="E80" i="14"/>
  <c r="E77" i="14"/>
  <c r="E135" i="16" s="1"/>
  <c r="E138" i="16" s="1"/>
  <c r="F62" i="14"/>
  <c r="E62" i="14"/>
  <c r="G62" i="14"/>
  <c r="H62" i="14" s="1"/>
  <c r="I62" i="14" s="1"/>
  <c r="J62" i="14" s="1"/>
  <c r="K62" i="14" s="1"/>
  <c r="L62" i="14" s="1"/>
  <c r="M62" i="14" s="1"/>
  <c r="N62" i="14" s="1"/>
  <c r="O62" i="14" s="1"/>
  <c r="P62" i="14" s="1"/>
  <c r="Q62" i="14" s="1"/>
  <c r="R62" i="14" s="1"/>
  <c r="S62" i="14" s="1"/>
  <c r="T62" i="14" s="1"/>
  <c r="U62" i="14" s="1"/>
  <c r="V62" i="14" s="1"/>
  <c r="W62" i="14" s="1"/>
  <c r="X62" i="14" s="1"/>
  <c r="Y62" i="14" s="1"/>
  <c r="Z62" i="14" s="1"/>
  <c r="AA62" i="14" s="1"/>
  <c r="G56" i="14"/>
  <c r="F51" i="14"/>
  <c r="G51" i="14"/>
  <c r="E51" i="14"/>
  <c r="F56" i="14"/>
  <c r="J37" i="14"/>
  <c r="H44" i="14"/>
  <c r="E72" i="14" l="1"/>
  <c r="E90" i="14" s="1"/>
  <c r="E75" i="18"/>
  <c r="E93" i="18" s="1"/>
  <c r="E54" i="20"/>
  <c r="E72" i="20" s="1"/>
  <c r="E139" i="16"/>
  <c r="X47" i="20"/>
  <c r="I84" i="20"/>
  <c r="J84" i="20" s="1"/>
  <c r="K84" i="20" s="1"/>
  <c r="L84" i="20" s="1"/>
  <c r="M84" i="20" s="1"/>
  <c r="N84" i="20" s="1"/>
  <c r="O84" i="20" s="1"/>
  <c r="P84" i="20" s="1"/>
  <c r="Q84" i="20" s="1"/>
  <c r="R84" i="20" s="1"/>
  <c r="S84" i="20" s="1"/>
  <c r="T84" i="20" s="1"/>
  <c r="U84" i="20" s="1"/>
  <c r="V84" i="20" s="1"/>
  <c r="W84" i="20" s="1"/>
  <c r="X84" i="20" s="1"/>
  <c r="Y84" i="20" s="1"/>
  <c r="Z84" i="20" s="1"/>
  <c r="AA84" i="20" s="1"/>
  <c r="M58" i="20"/>
  <c r="M29" i="20"/>
  <c r="R44" i="18"/>
  <c r="Q48" i="18"/>
  <c r="S60" i="18"/>
  <c r="R65" i="18"/>
  <c r="U54" i="18"/>
  <c r="S51" i="18"/>
  <c r="I105" i="18"/>
  <c r="J105" i="18" s="1"/>
  <c r="K105" i="18" s="1"/>
  <c r="L105" i="18" s="1"/>
  <c r="M105" i="18" s="1"/>
  <c r="N105" i="18" s="1"/>
  <c r="O105" i="18" s="1"/>
  <c r="P105" i="18" s="1"/>
  <c r="Q105" i="18" s="1"/>
  <c r="R105" i="18" s="1"/>
  <c r="S105" i="18" s="1"/>
  <c r="T105" i="18" s="1"/>
  <c r="U105" i="18" s="1"/>
  <c r="V105" i="18" s="1"/>
  <c r="W105" i="18" s="1"/>
  <c r="X105" i="18" s="1"/>
  <c r="Y105" i="18" s="1"/>
  <c r="Z105" i="18" s="1"/>
  <c r="AA105" i="18" s="1"/>
  <c r="M79" i="18"/>
  <c r="M29" i="18"/>
  <c r="N132" i="16"/>
  <c r="M76" i="14"/>
  <c r="M29" i="14"/>
  <c r="E106" i="14"/>
  <c r="E142" i="16"/>
  <c r="E145" i="16" s="1"/>
  <c r="I66" i="14"/>
  <c r="H70" i="14"/>
  <c r="H69" i="14" s="1"/>
  <c r="H65" i="14"/>
  <c r="F139" i="16"/>
  <c r="F106" i="14"/>
  <c r="F108" i="14" s="1"/>
  <c r="F142" i="16"/>
  <c r="F145" i="16" s="1"/>
  <c r="G106" i="14"/>
  <c r="G107" i="14" s="1"/>
  <c r="G142" i="16"/>
  <c r="G145" i="16" s="1"/>
  <c r="G139" i="16"/>
  <c r="E94" i="14"/>
  <c r="E88" i="14"/>
  <c r="F94" i="14"/>
  <c r="F88" i="14"/>
  <c r="G94" i="14"/>
  <c r="J32" i="16" s="1"/>
  <c r="G88" i="14"/>
  <c r="E108" i="14"/>
  <c r="E107" i="14"/>
  <c r="G73" i="14"/>
  <c r="E83" i="14"/>
  <c r="E85" i="14" s="1"/>
  <c r="E96" i="14" s="1"/>
  <c r="F83" i="14"/>
  <c r="F85" i="14" s="1"/>
  <c r="F96" i="14" s="1"/>
  <c r="F98" i="14" s="1"/>
  <c r="G81" i="14"/>
  <c r="G83" i="14"/>
  <c r="G85" i="14" s="1"/>
  <c r="G96" i="14" s="1"/>
  <c r="E91" i="14"/>
  <c r="G91" i="14"/>
  <c r="F91" i="14"/>
  <c r="F78" i="14"/>
  <c r="G78" i="14"/>
  <c r="E81" i="14"/>
  <c r="F81" i="14"/>
  <c r="I44" i="14"/>
  <c r="K37" i="14"/>
  <c r="E73" i="20" l="1"/>
  <c r="E78" i="20"/>
  <c r="E94" i="18"/>
  <c r="E99" i="18"/>
  <c r="G146" i="16"/>
  <c r="G151" i="16"/>
  <c r="F146" i="16"/>
  <c r="F151" i="16"/>
  <c r="E146" i="16"/>
  <c r="E151" i="16"/>
  <c r="Y47" i="20"/>
  <c r="N58" i="20"/>
  <c r="N29" i="20"/>
  <c r="S44" i="18"/>
  <c r="R48" i="18"/>
  <c r="T60" i="18"/>
  <c r="S65" i="18"/>
  <c r="T51" i="18"/>
  <c r="V54" i="18"/>
  <c r="N79" i="18"/>
  <c r="N29" i="18"/>
  <c r="G108" i="14"/>
  <c r="J31" i="16" s="1"/>
  <c r="F107" i="14"/>
  <c r="I65" i="14"/>
  <c r="O132" i="16"/>
  <c r="N29" i="14"/>
  <c r="N76" i="14"/>
  <c r="J66" i="14"/>
  <c r="I70" i="14"/>
  <c r="I69" i="14" s="1"/>
  <c r="E97" i="14"/>
  <c r="E98" i="14"/>
  <c r="G97" i="14"/>
  <c r="G98" i="14"/>
  <c r="F97" i="14"/>
  <c r="L37" i="14"/>
  <c r="J44" i="14"/>
  <c r="F79" i="20" l="1"/>
  <c r="E80" i="20"/>
  <c r="E79" i="20"/>
  <c r="E100" i="18"/>
  <c r="F100" i="18"/>
  <c r="E101" i="18"/>
  <c r="F159" i="16"/>
  <c r="F161" i="16" s="1"/>
  <c r="F163" i="16" s="1"/>
  <c r="F173" i="16" s="1"/>
  <c r="F180" i="16"/>
  <c r="G159" i="16"/>
  <c r="G161" i="16" s="1"/>
  <c r="G163" i="16" s="1"/>
  <c r="G173" i="16" s="1"/>
  <c r="G180" i="16"/>
  <c r="E159" i="16"/>
  <c r="E161" i="16" s="1"/>
  <c r="E163" i="16" s="1"/>
  <c r="E173" i="16" s="1"/>
  <c r="E180" i="16"/>
  <c r="Z47" i="20"/>
  <c r="O58" i="20"/>
  <c r="O29" i="20"/>
  <c r="T44" i="18"/>
  <c r="U44" i="18" s="1"/>
  <c r="S48" i="18"/>
  <c r="U60" i="18"/>
  <c r="T65" i="18"/>
  <c r="W54" i="18"/>
  <c r="U51" i="18"/>
  <c r="O79" i="18"/>
  <c r="O29" i="18"/>
  <c r="P132" i="16"/>
  <c r="O29" i="14"/>
  <c r="O76" i="14"/>
  <c r="K66" i="14"/>
  <c r="J70" i="14"/>
  <c r="J69" i="14" s="1"/>
  <c r="J65" i="14"/>
  <c r="M37" i="14"/>
  <c r="K44" i="14"/>
  <c r="E182" i="16" l="1"/>
  <c r="E181" i="16"/>
  <c r="F181" i="16"/>
  <c r="F182" i="16"/>
  <c r="G181" i="16"/>
  <c r="G182" i="16"/>
  <c r="G174" i="16"/>
  <c r="F174" i="16"/>
  <c r="E174" i="16"/>
  <c r="AA47" i="20"/>
  <c r="P58" i="20"/>
  <c r="P29" i="20"/>
  <c r="T48" i="18"/>
  <c r="V44" i="18"/>
  <c r="V60" i="18"/>
  <c r="U65" i="18"/>
  <c r="V51" i="18"/>
  <c r="X54" i="18"/>
  <c r="P79" i="18"/>
  <c r="P29" i="18"/>
  <c r="Q132" i="16"/>
  <c r="P29" i="14"/>
  <c r="P76" i="14"/>
  <c r="K65" i="14"/>
  <c r="L66" i="14"/>
  <c r="K70" i="14"/>
  <c r="K69" i="14" s="1"/>
  <c r="L44" i="14"/>
  <c r="N37" i="14"/>
  <c r="J19" i="14"/>
  <c r="Q29" i="20" l="1"/>
  <c r="Q58" i="20"/>
  <c r="U48" i="18"/>
  <c r="W44" i="18"/>
  <c r="W60" i="18"/>
  <c r="V65" i="18"/>
  <c r="Y54" i="18"/>
  <c r="W51" i="18"/>
  <c r="Q79" i="18"/>
  <c r="Q29" i="18"/>
  <c r="R132" i="16"/>
  <c r="Q29" i="14"/>
  <c r="Q76" i="14"/>
  <c r="M66" i="14"/>
  <c r="L70" i="14"/>
  <c r="L69" i="14" s="1"/>
  <c r="L65" i="14"/>
  <c r="O37" i="14"/>
  <c r="M44" i="14"/>
  <c r="V17" i="15"/>
  <c r="U17" i="15"/>
  <c r="T17" i="15"/>
  <c r="N31" i="16" s="1"/>
  <c r="S17" i="15"/>
  <c r="N29" i="16" s="1"/>
  <c r="L8" i="15"/>
  <c r="J8" i="15"/>
  <c r="H8" i="15"/>
  <c r="F8" i="15"/>
  <c r="J11" i="20" l="1"/>
  <c r="J11" i="14"/>
  <c r="R29" i="20"/>
  <c r="R58" i="20"/>
  <c r="V48" i="18"/>
  <c r="X44" i="18"/>
  <c r="X60" i="18"/>
  <c r="W65" i="18"/>
  <c r="X51" i="18"/>
  <c r="Z54" i="18"/>
  <c r="R29" i="18"/>
  <c r="R79" i="18"/>
  <c r="S132" i="16"/>
  <c r="R76" i="14"/>
  <c r="R29" i="14"/>
  <c r="M65" i="14"/>
  <c r="N66" i="14"/>
  <c r="M70" i="14"/>
  <c r="M69" i="14" s="1"/>
  <c r="N44" i="14"/>
  <c r="P37" i="14"/>
  <c r="S29" i="20" l="1"/>
  <c r="S58" i="20"/>
  <c r="W48" i="18"/>
  <c r="Y44" i="18"/>
  <c r="Y60" i="18"/>
  <c r="X65" i="18"/>
  <c r="AA54" i="18"/>
  <c r="K60" i="16" s="1"/>
  <c r="Y51" i="18"/>
  <c r="S29" i="18"/>
  <c r="S79" i="18"/>
  <c r="T132" i="16"/>
  <c r="S76" i="14"/>
  <c r="S29" i="14"/>
  <c r="O66" i="14"/>
  <c r="N70" i="14"/>
  <c r="N69" i="14" s="1"/>
  <c r="N65" i="14"/>
  <c r="Q37" i="14"/>
  <c r="O44" i="14"/>
  <c r="T29" i="20" l="1"/>
  <c r="T58" i="20"/>
  <c r="X48" i="18"/>
  <c r="Z44" i="18"/>
  <c r="Z60" i="18"/>
  <c r="Y65" i="18"/>
  <c r="Z51" i="18"/>
  <c r="T29" i="18"/>
  <c r="T79" i="18"/>
  <c r="U132" i="16"/>
  <c r="T76" i="14"/>
  <c r="T29" i="14"/>
  <c r="O65" i="14"/>
  <c r="P66" i="14"/>
  <c r="O70" i="14"/>
  <c r="O69" i="14" s="1"/>
  <c r="P44" i="14"/>
  <c r="R37" i="14"/>
  <c r="U29" i="20" l="1"/>
  <c r="U58" i="20"/>
  <c r="Y48" i="18"/>
  <c r="AA44" i="18"/>
  <c r="AA60" i="18"/>
  <c r="Z65" i="18"/>
  <c r="AA51" i="18"/>
  <c r="K57" i="16" s="1"/>
  <c r="U29" i="18"/>
  <c r="U79" i="18"/>
  <c r="V132" i="16"/>
  <c r="U76" i="14"/>
  <c r="U29" i="14"/>
  <c r="Q66" i="14"/>
  <c r="P70" i="14"/>
  <c r="P69" i="14" s="1"/>
  <c r="P65" i="14"/>
  <c r="S37" i="14"/>
  <c r="Q44" i="14"/>
  <c r="V29" i="20" l="1"/>
  <c r="V58" i="20"/>
  <c r="AA65" i="18"/>
  <c r="K63" i="16"/>
  <c r="Z48" i="18"/>
  <c r="V29" i="18"/>
  <c r="V79" i="18"/>
  <c r="W132" i="16"/>
  <c r="V76" i="14"/>
  <c r="V29" i="14"/>
  <c r="Q65" i="14"/>
  <c r="R66" i="14"/>
  <c r="Q70" i="14"/>
  <c r="Q69" i="14" s="1"/>
  <c r="R44" i="14"/>
  <c r="T37" i="14"/>
  <c r="W29" i="20" l="1"/>
  <c r="W58" i="20"/>
  <c r="AA48" i="18"/>
  <c r="W79" i="18"/>
  <c r="W29" i="18"/>
  <c r="X132" i="16"/>
  <c r="W29" i="14"/>
  <c r="W76" i="14"/>
  <c r="S66" i="14"/>
  <c r="R70" i="14"/>
  <c r="R69" i="14" s="1"/>
  <c r="R65" i="14"/>
  <c r="U37" i="14"/>
  <c r="S44" i="14"/>
  <c r="X29" i="20" l="1"/>
  <c r="X58" i="20"/>
  <c r="X79" i="18"/>
  <c r="X29" i="18"/>
  <c r="Y132" i="16"/>
  <c r="X76" i="14"/>
  <c r="X29" i="14"/>
  <c r="S65" i="14"/>
  <c r="T66" i="14"/>
  <c r="S70" i="14"/>
  <c r="S69" i="14" s="1"/>
  <c r="V37" i="14"/>
  <c r="T44" i="14"/>
  <c r="Y58" i="20" l="1"/>
  <c r="Y29" i="20"/>
  <c r="Y79" i="18"/>
  <c r="Y29" i="18"/>
  <c r="Z132" i="16"/>
  <c r="Y76" i="14"/>
  <c r="Y29" i="14"/>
  <c r="U66" i="14"/>
  <c r="T70" i="14"/>
  <c r="T69" i="14" s="1"/>
  <c r="T65" i="14"/>
  <c r="U44" i="14"/>
  <c r="W37" i="14"/>
  <c r="Z58" i="20" l="1"/>
  <c r="Z29" i="20"/>
  <c r="Z29" i="18"/>
  <c r="Z79" i="18"/>
  <c r="AA132" i="16"/>
  <c r="Z76" i="14"/>
  <c r="Z29" i="14"/>
  <c r="U65" i="14"/>
  <c r="V66" i="14"/>
  <c r="U70" i="14"/>
  <c r="U69" i="14" s="1"/>
  <c r="X37" i="14"/>
  <c r="V44" i="14"/>
  <c r="AA58" i="20" l="1"/>
  <c r="AA29" i="20"/>
  <c r="E10" i="20" s="1"/>
  <c r="AA29" i="18"/>
  <c r="E10" i="18" s="1"/>
  <c r="AA79" i="18"/>
  <c r="AA76" i="14"/>
  <c r="AA29" i="14"/>
  <c r="W66" i="14"/>
  <c r="V70" i="14"/>
  <c r="V69" i="14" s="1"/>
  <c r="V65" i="14"/>
  <c r="W44" i="14"/>
  <c r="Y37" i="14"/>
  <c r="I32" i="20" l="1"/>
  <c r="I41" i="20"/>
  <c r="I35" i="20"/>
  <c r="I44" i="20"/>
  <c r="I70" i="18"/>
  <c r="J70" i="18" s="1"/>
  <c r="K70" i="18" s="1"/>
  <c r="L70" i="18" s="1"/>
  <c r="M70" i="18" s="1"/>
  <c r="N70" i="18" s="1"/>
  <c r="O70" i="18" s="1"/>
  <c r="P70" i="18" s="1"/>
  <c r="Q70" i="18" s="1"/>
  <c r="R70" i="18" s="1"/>
  <c r="S70" i="18" s="1"/>
  <c r="T70" i="18" s="1"/>
  <c r="U70" i="18" s="1"/>
  <c r="V70" i="18" s="1"/>
  <c r="W70" i="18" s="1"/>
  <c r="X70" i="18" s="1"/>
  <c r="Y70" i="18" s="1"/>
  <c r="Z70" i="18" s="1"/>
  <c r="AA70" i="18" s="1"/>
  <c r="K67" i="16" s="1"/>
  <c r="I35" i="18"/>
  <c r="I34" i="18" s="1"/>
  <c r="W65" i="14"/>
  <c r="X66" i="14"/>
  <c r="W70" i="14"/>
  <c r="W69" i="14" s="1"/>
  <c r="X44" i="14"/>
  <c r="Z37" i="14"/>
  <c r="J44" i="20" l="1"/>
  <c r="J35" i="20"/>
  <c r="K35" i="20" s="1"/>
  <c r="L35" i="20" s="1"/>
  <c r="M35" i="20" s="1"/>
  <c r="N35" i="20" s="1"/>
  <c r="O35" i="20" s="1"/>
  <c r="P35" i="20" s="1"/>
  <c r="Q35" i="20" s="1"/>
  <c r="R35" i="20" s="1"/>
  <c r="S35" i="20" s="1"/>
  <c r="T35" i="20" s="1"/>
  <c r="U35" i="20" s="1"/>
  <c r="V35" i="20" s="1"/>
  <c r="W35" i="20" s="1"/>
  <c r="X35" i="20" s="1"/>
  <c r="Y35" i="20" s="1"/>
  <c r="Z35" i="20" s="1"/>
  <c r="AA35" i="20" s="1"/>
  <c r="I34" i="20"/>
  <c r="J41" i="20"/>
  <c r="J32" i="20"/>
  <c r="K32" i="20" s="1"/>
  <c r="L32" i="20" s="1"/>
  <c r="M32" i="20" s="1"/>
  <c r="N32" i="20" s="1"/>
  <c r="O32" i="20" s="1"/>
  <c r="P32" i="20" s="1"/>
  <c r="Q32" i="20" s="1"/>
  <c r="R32" i="20" s="1"/>
  <c r="S32" i="20" s="1"/>
  <c r="T32" i="20" s="1"/>
  <c r="U32" i="20" s="1"/>
  <c r="V32" i="20" s="1"/>
  <c r="W32" i="20" s="1"/>
  <c r="X32" i="20" s="1"/>
  <c r="Y32" i="20" s="1"/>
  <c r="Z32" i="20" s="1"/>
  <c r="AA32" i="20" s="1"/>
  <c r="I31" i="20"/>
  <c r="H69" i="20"/>
  <c r="H75" i="20"/>
  <c r="I36" i="18"/>
  <c r="I38" i="18"/>
  <c r="J35" i="18"/>
  <c r="H90" i="18"/>
  <c r="Y66" i="14"/>
  <c r="X70" i="14"/>
  <c r="X69" i="14" s="1"/>
  <c r="X65" i="14"/>
  <c r="AA37" i="14"/>
  <c r="K23" i="16" s="1"/>
  <c r="Y44" i="14"/>
  <c r="I37" i="20" l="1"/>
  <c r="J34" i="20"/>
  <c r="K34" i="20" s="1"/>
  <c r="L34" i="20" s="1"/>
  <c r="M34" i="20" s="1"/>
  <c r="N34" i="20" s="1"/>
  <c r="O34" i="20" s="1"/>
  <c r="P34" i="20" s="1"/>
  <c r="Q34" i="20" s="1"/>
  <c r="R34" i="20" s="1"/>
  <c r="S34" i="20" s="1"/>
  <c r="T34" i="20" s="1"/>
  <c r="U34" i="20" s="1"/>
  <c r="V34" i="20" s="1"/>
  <c r="W34" i="20" s="1"/>
  <c r="X34" i="20" s="1"/>
  <c r="Y34" i="20" s="1"/>
  <c r="Z34" i="20" s="1"/>
  <c r="AA34" i="20" s="1"/>
  <c r="K93" i="16" s="1"/>
  <c r="J31" i="20"/>
  <c r="I46" i="20"/>
  <c r="I50" i="20"/>
  <c r="K41" i="20"/>
  <c r="K44" i="20"/>
  <c r="K35" i="18"/>
  <c r="J34" i="18"/>
  <c r="I40" i="18"/>
  <c r="I64" i="18" s="1"/>
  <c r="I43" i="18"/>
  <c r="I47" i="18"/>
  <c r="Y65" i="14"/>
  <c r="Z66" i="14"/>
  <c r="Y70" i="14"/>
  <c r="Y69" i="14" s="1"/>
  <c r="Z44" i="14"/>
  <c r="J37" i="20" l="1"/>
  <c r="L44" i="20"/>
  <c r="I59" i="20"/>
  <c r="I137" i="16" s="1"/>
  <c r="E110" i="22" s="1"/>
  <c r="I54" i="20"/>
  <c r="I38" i="20"/>
  <c r="I40" i="20"/>
  <c r="I43" i="20"/>
  <c r="K31" i="20"/>
  <c r="K37" i="20" s="1"/>
  <c r="J46" i="20"/>
  <c r="J50" i="20"/>
  <c r="L41" i="20"/>
  <c r="H72" i="20"/>
  <c r="I75" i="20"/>
  <c r="I69" i="20"/>
  <c r="I96" i="18"/>
  <c r="I41" i="18"/>
  <c r="I63" i="18" s="1"/>
  <c r="I66" i="18" s="1"/>
  <c r="I67" i="18" s="1"/>
  <c r="J36" i="18"/>
  <c r="J38" i="18"/>
  <c r="L35" i="18"/>
  <c r="K34" i="18"/>
  <c r="I90" i="18"/>
  <c r="H80" i="18"/>
  <c r="H136" i="16" s="1"/>
  <c r="D109" i="22" s="1"/>
  <c r="H69" i="18"/>
  <c r="H75" i="18"/>
  <c r="H93" i="18" s="1"/>
  <c r="H72" i="18"/>
  <c r="AA66" i="14"/>
  <c r="AA70" i="14" s="1"/>
  <c r="Z70" i="14"/>
  <c r="Z69" i="14" s="1"/>
  <c r="Z65" i="14"/>
  <c r="AA44" i="14"/>
  <c r="I62" i="20" l="1"/>
  <c r="I144" i="16" s="1"/>
  <c r="L31" i="20"/>
  <c r="L37" i="20" s="1"/>
  <c r="K50" i="20"/>
  <c r="K46" i="20"/>
  <c r="J38" i="20"/>
  <c r="J54" i="20"/>
  <c r="J59" i="20"/>
  <c r="J43" i="20"/>
  <c r="J40" i="20"/>
  <c r="M41" i="20"/>
  <c r="M44" i="20"/>
  <c r="H65" i="20"/>
  <c r="H73" i="20"/>
  <c r="J75" i="20"/>
  <c r="J69" i="20"/>
  <c r="H60" i="20"/>
  <c r="H76" i="20"/>
  <c r="H70" i="20"/>
  <c r="J40" i="18"/>
  <c r="J64" i="18" s="1"/>
  <c r="J43" i="18"/>
  <c r="J47" i="18"/>
  <c r="K36" i="18"/>
  <c r="M35" i="18"/>
  <c r="L34" i="18"/>
  <c r="K38" i="18"/>
  <c r="H94" i="18"/>
  <c r="H83" i="18"/>
  <c r="H81" i="18"/>
  <c r="H91" i="18"/>
  <c r="H97" i="18"/>
  <c r="AA69" i="14"/>
  <c r="AA65" i="14"/>
  <c r="J137" i="16" l="1"/>
  <c r="F110" i="22" s="1"/>
  <c r="J97" i="16"/>
  <c r="H67" i="20"/>
  <c r="H78" i="20" s="1"/>
  <c r="H86" i="20" s="1"/>
  <c r="J62" i="20"/>
  <c r="J144" i="16" s="1"/>
  <c r="N41" i="20"/>
  <c r="N44" i="20"/>
  <c r="M31" i="20"/>
  <c r="M37" i="20" s="1"/>
  <c r="L50" i="20"/>
  <c r="L46" i="20"/>
  <c r="K54" i="20"/>
  <c r="K59" i="20"/>
  <c r="K137" i="16" s="1"/>
  <c r="G110" i="22" s="1"/>
  <c r="K38" i="20"/>
  <c r="K43" i="20"/>
  <c r="K40" i="20"/>
  <c r="H88" i="20"/>
  <c r="H89" i="20" s="1"/>
  <c r="H63" i="20"/>
  <c r="K75" i="20"/>
  <c r="K69" i="20"/>
  <c r="J90" i="18"/>
  <c r="J96" i="18"/>
  <c r="H84" i="18"/>
  <c r="H143" i="16"/>
  <c r="J41" i="18"/>
  <c r="J63" i="18" s="1"/>
  <c r="J66" i="18" s="1"/>
  <c r="J67" i="18" s="1"/>
  <c r="L36" i="18"/>
  <c r="K40" i="18"/>
  <c r="K43" i="18"/>
  <c r="K47" i="18"/>
  <c r="N35" i="18"/>
  <c r="M34" i="18"/>
  <c r="L38" i="18"/>
  <c r="H109" i="18"/>
  <c r="H110" i="18" s="1"/>
  <c r="H86" i="18"/>
  <c r="H88" i="18" s="1"/>
  <c r="H99" i="18" s="1"/>
  <c r="H107" i="18" s="1"/>
  <c r="I80" i="18"/>
  <c r="I136" i="16" s="1"/>
  <c r="E109" i="22" s="1"/>
  <c r="I75" i="18"/>
  <c r="I93" i="18" s="1"/>
  <c r="I69" i="18"/>
  <c r="I72" i="18"/>
  <c r="K17" i="15"/>
  <c r="D17" i="15"/>
  <c r="H80" i="20" l="1"/>
  <c r="H79" i="20"/>
  <c r="K62" i="20"/>
  <c r="K144" i="16" s="1"/>
  <c r="N31" i="20"/>
  <c r="N37" i="20" s="1"/>
  <c r="M50" i="20"/>
  <c r="M46" i="20"/>
  <c r="O44" i="20"/>
  <c r="L38" i="20"/>
  <c r="L54" i="20"/>
  <c r="L59" i="20"/>
  <c r="L137" i="16" s="1"/>
  <c r="H110" i="22" s="1"/>
  <c r="L43" i="20"/>
  <c r="L40" i="20"/>
  <c r="O41" i="20"/>
  <c r="H90" i="20"/>
  <c r="I65" i="20"/>
  <c r="J65" i="20"/>
  <c r="J60" i="20"/>
  <c r="J72" i="20"/>
  <c r="J76" i="20"/>
  <c r="L69" i="20"/>
  <c r="L75" i="20"/>
  <c r="K76" i="20"/>
  <c r="J70" i="20"/>
  <c r="I60" i="20"/>
  <c r="I72" i="20"/>
  <c r="I76" i="20"/>
  <c r="I70" i="20"/>
  <c r="K90" i="18"/>
  <c r="K96" i="18"/>
  <c r="J72" i="18"/>
  <c r="J75" i="18"/>
  <c r="J93" i="18" s="1"/>
  <c r="J69" i="18"/>
  <c r="J80" i="18"/>
  <c r="J136" i="16" s="1"/>
  <c r="F109" i="22" s="1"/>
  <c r="L40" i="18"/>
  <c r="L64" i="18" s="1"/>
  <c r="L43" i="18"/>
  <c r="L47" i="18"/>
  <c r="M36" i="18"/>
  <c r="O35" i="18"/>
  <c r="N34" i="18"/>
  <c r="K41" i="18"/>
  <c r="K63" i="18" s="1"/>
  <c r="K64" i="18"/>
  <c r="M38" i="18"/>
  <c r="H111" i="18"/>
  <c r="H100" i="18"/>
  <c r="H101" i="18"/>
  <c r="I83" i="18"/>
  <c r="I81" i="18"/>
  <c r="I91" i="18"/>
  <c r="I97" i="18"/>
  <c r="E17" i="15"/>
  <c r="G17" i="15"/>
  <c r="I17" i="15"/>
  <c r="I67" i="20" l="1"/>
  <c r="I78" i="20" s="1"/>
  <c r="I86" i="20" s="1"/>
  <c r="J67" i="20"/>
  <c r="J78" i="20" s="1"/>
  <c r="J80" i="20" s="1"/>
  <c r="L62" i="20"/>
  <c r="L144" i="16" s="1"/>
  <c r="M54" i="20"/>
  <c r="M59" i="20"/>
  <c r="M137" i="16" s="1"/>
  <c r="I110" i="22" s="1"/>
  <c r="M38" i="20"/>
  <c r="M43" i="20"/>
  <c r="M40" i="20"/>
  <c r="P41" i="20"/>
  <c r="P44" i="20"/>
  <c r="O31" i="20"/>
  <c r="O37" i="20" s="1"/>
  <c r="N50" i="20"/>
  <c r="N46" i="20"/>
  <c r="I88" i="20"/>
  <c r="I89" i="20" s="1"/>
  <c r="I63" i="20"/>
  <c r="J88" i="20"/>
  <c r="J90" i="20" s="1"/>
  <c r="J63" i="20"/>
  <c r="L76" i="20"/>
  <c r="K65" i="20"/>
  <c r="K63" i="20"/>
  <c r="K88" i="20"/>
  <c r="K60" i="20"/>
  <c r="K72" i="20"/>
  <c r="K70" i="20"/>
  <c r="M75" i="20"/>
  <c r="M69" i="20"/>
  <c r="J81" i="18"/>
  <c r="J97" i="18"/>
  <c r="J91" i="18"/>
  <c r="L90" i="18"/>
  <c r="L96" i="18"/>
  <c r="J83" i="18"/>
  <c r="J109" i="18" s="1"/>
  <c r="J111" i="18" s="1"/>
  <c r="I86" i="18"/>
  <c r="I88" i="18" s="1"/>
  <c r="I99" i="18" s="1"/>
  <c r="I107" i="18" s="1"/>
  <c r="I143" i="16"/>
  <c r="L41" i="18"/>
  <c r="L63" i="18" s="1"/>
  <c r="L66" i="18" s="1"/>
  <c r="L80" i="18" s="1"/>
  <c r="N36" i="18"/>
  <c r="M40" i="18"/>
  <c r="M43" i="18"/>
  <c r="M47" i="18"/>
  <c r="K66" i="18"/>
  <c r="P35" i="18"/>
  <c r="O34" i="18"/>
  <c r="N38" i="18"/>
  <c r="I109" i="18"/>
  <c r="I84" i="18"/>
  <c r="F17" i="15"/>
  <c r="D25" i="17" s="1"/>
  <c r="J17" i="15"/>
  <c r="F25" i="17" s="1"/>
  <c r="L17" i="15"/>
  <c r="C25" i="17" s="1"/>
  <c r="H17" i="15"/>
  <c r="E25" i="17" s="1"/>
  <c r="H25" i="17" l="1"/>
  <c r="H29" i="17" s="1"/>
  <c r="H35" i="17" s="1"/>
  <c r="N33" i="16" s="1"/>
  <c r="K67" i="20"/>
  <c r="K78" i="20" s="1"/>
  <c r="K80" i="20" s="1"/>
  <c r="M62" i="20"/>
  <c r="M144" i="16" s="1"/>
  <c r="N38" i="20"/>
  <c r="N59" i="20"/>
  <c r="N137" i="16" s="1"/>
  <c r="J110" i="22" s="1"/>
  <c r="N54" i="20"/>
  <c r="N43" i="20"/>
  <c r="N40" i="20"/>
  <c r="Q44" i="20"/>
  <c r="P31" i="20"/>
  <c r="P37" i="20" s="1"/>
  <c r="O50" i="20"/>
  <c r="O46" i="20"/>
  <c r="Q41" i="20"/>
  <c r="J86" i="20"/>
  <c r="J79" i="20"/>
  <c r="I79" i="20"/>
  <c r="I80" i="20"/>
  <c r="J89" i="20"/>
  <c r="I90" i="20"/>
  <c r="L65" i="20"/>
  <c r="L70" i="20"/>
  <c r="M70" i="20"/>
  <c r="J86" i="18"/>
  <c r="J88" i="18" s="1"/>
  <c r="J99" i="18" s="1"/>
  <c r="J100" i="18" s="1"/>
  <c r="J84" i="18"/>
  <c r="K90" i="20"/>
  <c r="K89" i="20"/>
  <c r="M76" i="20"/>
  <c r="J143" i="16"/>
  <c r="N69" i="20"/>
  <c r="N75" i="20"/>
  <c r="L60" i="20"/>
  <c r="L72" i="20"/>
  <c r="M90" i="18"/>
  <c r="M96" i="18"/>
  <c r="J110" i="18"/>
  <c r="L91" i="18"/>
  <c r="L136" i="16"/>
  <c r="H109" i="22" s="1"/>
  <c r="L72" i="18"/>
  <c r="L69" i="18"/>
  <c r="L75" i="18"/>
  <c r="L93" i="18" s="1"/>
  <c r="L67" i="18"/>
  <c r="O36" i="18"/>
  <c r="Q35" i="18"/>
  <c r="P34" i="18"/>
  <c r="N40" i="18"/>
  <c r="N43" i="18"/>
  <c r="N47" i="18"/>
  <c r="K67" i="18"/>
  <c r="K80" i="18"/>
  <c r="K75" i="18"/>
  <c r="K93" i="18" s="1"/>
  <c r="K72" i="18"/>
  <c r="K69" i="18"/>
  <c r="M41" i="18"/>
  <c r="M63" i="18" s="1"/>
  <c r="M64" i="18"/>
  <c r="O38" i="18"/>
  <c r="I110" i="18"/>
  <c r="I111" i="18"/>
  <c r="I100" i="18"/>
  <c r="I101" i="18"/>
  <c r="L97" i="18"/>
  <c r="I101" i="14"/>
  <c r="J101" i="14" s="1"/>
  <c r="K101" i="14" s="1"/>
  <c r="L101" i="14" s="1"/>
  <c r="M101" i="14" s="1"/>
  <c r="N101" i="14" s="1"/>
  <c r="O101" i="14" s="1"/>
  <c r="P101" i="14" s="1"/>
  <c r="Q101" i="14" s="1"/>
  <c r="R101" i="14" s="1"/>
  <c r="S101" i="14" s="1"/>
  <c r="T101" i="14" s="1"/>
  <c r="U101" i="14" s="1"/>
  <c r="V101" i="14" s="1"/>
  <c r="W101" i="14" s="1"/>
  <c r="X101" i="14" s="1"/>
  <c r="Y101" i="14" s="1"/>
  <c r="Z101" i="14" s="1"/>
  <c r="H39" i="17" l="1"/>
  <c r="L67" i="20"/>
  <c r="L78" i="20" s="1"/>
  <c r="L80" i="20" s="1"/>
  <c r="N62" i="20"/>
  <c r="N144" i="16" s="1"/>
  <c r="R41" i="20"/>
  <c r="O59" i="20"/>
  <c r="O137" i="16" s="1"/>
  <c r="K110" i="22" s="1"/>
  <c r="O38" i="20"/>
  <c r="O54" i="20"/>
  <c r="O43" i="20"/>
  <c r="O40" i="20"/>
  <c r="Q31" i="20"/>
  <c r="Q37" i="20" s="1"/>
  <c r="P50" i="20"/>
  <c r="P46" i="20"/>
  <c r="R44" i="20"/>
  <c r="L88" i="20"/>
  <c r="L89" i="20" s="1"/>
  <c r="L63" i="20"/>
  <c r="K79" i="20"/>
  <c r="K86" i="20"/>
  <c r="J101" i="18"/>
  <c r="J107" i="18"/>
  <c r="N70" i="20"/>
  <c r="M63" i="20"/>
  <c r="M65" i="20"/>
  <c r="M88" i="20"/>
  <c r="N76" i="20"/>
  <c r="M60" i="20"/>
  <c r="M72" i="20"/>
  <c r="O75" i="20"/>
  <c r="O69" i="20"/>
  <c r="N90" i="18"/>
  <c r="N96" i="18"/>
  <c r="L81" i="18"/>
  <c r="K136" i="16"/>
  <c r="G109" i="22" s="1"/>
  <c r="L83" i="18"/>
  <c r="L84" i="18" s="1"/>
  <c r="M66" i="18"/>
  <c r="M67" i="18" s="1"/>
  <c r="K83" i="18"/>
  <c r="K143" i="16" s="1"/>
  <c r="O40" i="18"/>
  <c r="O43" i="18"/>
  <c r="O47" i="18"/>
  <c r="K97" i="18"/>
  <c r="K91" i="18"/>
  <c r="K81" i="18"/>
  <c r="N41" i="18"/>
  <c r="N63" i="18" s="1"/>
  <c r="N64" i="18"/>
  <c r="P36" i="18"/>
  <c r="R35" i="18"/>
  <c r="Q34" i="18"/>
  <c r="P38" i="18"/>
  <c r="H102" i="14"/>
  <c r="M67" i="20" l="1"/>
  <c r="M78" i="20" s="1"/>
  <c r="M80" i="20" s="1"/>
  <c r="O62" i="20"/>
  <c r="O144" i="16" s="1"/>
  <c r="L90" i="20"/>
  <c r="S44" i="20"/>
  <c r="P38" i="20"/>
  <c r="P59" i="20"/>
  <c r="P137" i="16" s="1"/>
  <c r="L110" i="22" s="1"/>
  <c r="P54" i="20"/>
  <c r="P40" i="20"/>
  <c r="P43" i="20"/>
  <c r="R31" i="20"/>
  <c r="R37" i="20" s="1"/>
  <c r="Q50" i="20"/>
  <c r="Q46" i="20"/>
  <c r="S41" i="20"/>
  <c r="L86" i="20"/>
  <c r="L79" i="20"/>
  <c r="N63" i="20"/>
  <c r="M90" i="20"/>
  <c r="M89" i="20"/>
  <c r="O70" i="20"/>
  <c r="P69" i="20"/>
  <c r="P75" i="20"/>
  <c r="N60" i="20"/>
  <c r="N72" i="20"/>
  <c r="O90" i="18"/>
  <c r="O96" i="18"/>
  <c r="L109" i="18"/>
  <c r="L111" i="18" s="1"/>
  <c r="L143" i="16"/>
  <c r="L86" i="18"/>
  <c r="L88" i="18" s="1"/>
  <c r="L99" i="18" s="1"/>
  <c r="L107" i="18" s="1"/>
  <c r="M69" i="18"/>
  <c r="M80" i="18"/>
  <c r="M75" i="18"/>
  <c r="M93" i="18" s="1"/>
  <c r="M72" i="18"/>
  <c r="N66" i="18"/>
  <c r="N67" i="18" s="1"/>
  <c r="K86" i="18"/>
  <c r="K88" i="18" s="1"/>
  <c r="K99" i="18" s="1"/>
  <c r="K84" i="18"/>
  <c r="K109" i="18"/>
  <c r="S35" i="18"/>
  <c r="R34" i="18"/>
  <c r="R38" i="18" s="1"/>
  <c r="P40" i="18"/>
  <c r="P43" i="18"/>
  <c r="P47" i="18"/>
  <c r="Q36" i="18"/>
  <c r="Q38" i="18"/>
  <c r="O41" i="18"/>
  <c r="O63" i="18" s="1"/>
  <c r="O64" i="18"/>
  <c r="I102" i="14"/>
  <c r="P62" i="20" l="1"/>
  <c r="P144" i="16" s="1"/>
  <c r="T41" i="20"/>
  <c r="T44" i="20"/>
  <c r="S31" i="20"/>
  <c r="S37" i="20" s="1"/>
  <c r="R50" i="20"/>
  <c r="R46" i="20"/>
  <c r="Q38" i="20"/>
  <c r="Q59" i="20"/>
  <c r="Q137" i="16" s="1"/>
  <c r="M110" i="22" s="1"/>
  <c r="Q54" i="20"/>
  <c r="Q40" i="20"/>
  <c r="Q43" i="20"/>
  <c r="O88" i="20"/>
  <c r="M86" i="20"/>
  <c r="M79" i="20"/>
  <c r="N65" i="20"/>
  <c r="N88" i="20"/>
  <c r="N90" i="20" s="1"/>
  <c r="Q69" i="20"/>
  <c r="Q75" i="20"/>
  <c r="N69" i="18"/>
  <c r="O60" i="20"/>
  <c r="O72" i="20"/>
  <c r="N72" i="18"/>
  <c r="P70" i="20"/>
  <c r="O76" i="20"/>
  <c r="P90" i="18"/>
  <c r="P96" i="18"/>
  <c r="L100" i="18"/>
  <c r="M97" i="18"/>
  <c r="M136" i="16"/>
  <c r="I109" i="22" s="1"/>
  <c r="L101" i="18"/>
  <c r="M91" i="18"/>
  <c r="M81" i="18"/>
  <c r="N75" i="18"/>
  <c r="N93" i="18" s="1"/>
  <c r="N80" i="18"/>
  <c r="M83" i="18"/>
  <c r="M143" i="16" s="1"/>
  <c r="O66" i="18"/>
  <c r="O67" i="18" s="1"/>
  <c r="K110" i="18"/>
  <c r="L110" i="18"/>
  <c r="K111" i="18"/>
  <c r="K100" i="18"/>
  <c r="K107" i="18"/>
  <c r="K101" i="18"/>
  <c r="Q40" i="18"/>
  <c r="Q43" i="18"/>
  <c r="Q47" i="18"/>
  <c r="R40" i="18"/>
  <c r="R43" i="18"/>
  <c r="R47" i="18"/>
  <c r="P41" i="18"/>
  <c r="P63" i="18" s="1"/>
  <c r="P64" i="18"/>
  <c r="R36" i="18"/>
  <c r="T35" i="18"/>
  <c r="S34" i="18"/>
  <c r="S38" i="18" s="1"/>
  <c r="J102" i="14"/>
  <c r="N67" i="20" l="1"/>
  <c r="N78" i="20" s="1"/>
  <c r="N80" i="20" s="1"/>
  <c r="Q62" i="20"/>
  <c r="Q144" i="16" s="1"/>
  <c r="T31" i="20"/>
  <c r="T37" i="20" s="1"/>
  <c r="S50" i="20"/>
  <c r="S46" i="20"/>
  <c r="R38" i="20"/>
  <c r="R54" i="20"/>
  <c r="R59" i="20"/>
  <c r="R137" i="16" s="1"/>
  <c r="N110" i="22" s="1"/>
  <c r="R40" i="20"/>
  <c r="R43" i="20"/>
  <c r="U44" i="20"/>
  <c r="N89" i="20"/>
  <c r="U41" i="20"/>
  <c r="N83" i="18"/>
  <c r="N84" i="18" s="1"/>
  <c r="O65" i="20"/>
  <c r="O63" i="20"/>
  <c r="P88" i="20"/>
  <c r="P63" i="20"/>
  <c r="P65" i="20"/>
  <c r="Q76" i="20"/>
  <c r="P72" i="20"/>
  <c r="P60" i="20"/>
  <c r="Q70" i="20"/>
  <c r="P76" i="20"/>
  <c r="R69" i="20"/>
  <c r="R75" i="20"/>
  <c r="O90" i="20"/>
  <c r="O89" i="20"/>
  <c r="Q90" i="18"/>
  <c r="Q96" i="18"/>
  <c r="R96" i="18"/>
  <c r="N81" i="18"/>
  <c r="N136" i="16"/>
  <c r="J109" i="22" s="1"/>
  <c r="N91" i="18"/>
  <c r="N97" i="18"/>
  <c r="M86" i="18"/>
  <c r="M88" i="18" s="1"/>
  <c r="M99" i="18" s="1"/>
  <c r="M84" i="18"/>
  <c r="M109" i="18"/>
  <c r="O72" i="18"/>
  <c r="O69" i="18"/>
  <c r="O75" i="18"/>
  <c r="O93" i="18" s="1"/>
  <c r="O80" i="18"/>
  <c r="S40" i="18"/>
  <c r="S43" i="18"/>
  <c r="S47" i="18"/>
  <c r="S36" i="18"/>
  <c r="U35" i="18"/>
  <c r="T34" i="18"/>
  <c r="P66" i="18"/>
  <c r="R41" i="18"/>
  <c r="R63" i="18" s="1"/>
  <c r="R64" i="18"/>
  <c r="Q41" i="18"/>
  <c r="Q63" i="18" s="1"/>
  <c r="Q64" i="18"/>
  <c r="R90" i="18"/>
  <c r="K102" i="14"/>
  <c r="N86" i="20" l="1"/>
  <c r="N79" i="20"/>
  <c r="P67" i="20"/>
  <c r="P78" i="20" s="1"/>
  <c r="O67" i="20"/>
  <c r="O78" i="20" s="1"/>
  <c r="O79" i="20" s="1"/>
  <c r="N143" i="16"/>
  <c r="R62" i="20"/>
  <c r="R144" i="16" s="1"/>
  <c r="V44" i="20"/>
  <c r="V41" i="20"/>
  <c r="S38" i="20"/>
  <c r="S59" i="20"/>
  <c r="S137" i="16" s="1"/>
  <c r="O110" i="22" s="1"/>
  <c r="S54" i="20"/>
  <c r="S43" i="20"/>
  <c r="S40" i="20"/>
  <c r="U31" i="20"/>
  <c r="U37" i="20" s="1"/>
  <c r="T50" i="20"/>
  <c r="T46" i="20"/>
  <c r="N86" i="18"/>
  <c r="N88" i="18" s="1"/>
  <c r="N99" i="18" s="1"/>
  <c r="N101" i="18" s="1"/>
  <c r="N109" i="18"/>
  <c r="N111" i="18" s="1"/>
  <c r="Q88" i="20"/>
  <c r="Q63" i="20"/>
  <c r="Q65" i="20"/>
  <c r="S75" i="20"/>
  <c r="S69" i="20"/>
  <c r="Q72" i="20"/>
  <c r="Q60" i="20"/>
  <c r="P90" i="20"/>
  <c r="P89" i="20"/>
  <c r="S96" i="18"/>
  <c r="O91" i="18"/>
  <c r="O136" i="16"/>
  <c r="K109" i="22" s="1"/>
  <c r="O83" i="18"/>
  <c r="O86" i="18" s="1"/>
  <c r="O88" i="18" s="1"/>
  <c r="O99" i="18" s="1"/>
  <c r="O97" i="18"/>
  <c r="O81" i="18"/>
  <c r="M110" i="18"/>
  <c r="M111" i="18"/>
  <c r="M100" i="18"/>
  <c r="M107" i="18"/>
  <c r="M101" i="18"/>
  <c r="Q66" i="18"/>
  <c r="R66" i="18"/>
  <c r="T36" i="18"/>
  <c r="P67" i="18"/>
  <c r="P75" i="18"/>
  <c r="P93" i="18" s="1"/>
  <c r="P69" i="18"/>
  <c r="P80" i="18"/>
  <c r="P136" i="16" s="1"/>
  <c r="L109" i="22" s="1"/>
  <c r="P72" i="18"/>
  <c r="V35" i="18"/>
  <c r="U34" i="18"/>
  <c r="T38" i="18"/>
  <c r="S41" i="18"/>
  <c r="S63" i="18" s="1"/>
  <c r="S64" i="18"/>
  <c r="S90" i="18"/>
  <c r="L102" i="14"/>
  <c r="P79" i="20" l="1"/>
  <c r="O86" i="20"/>
  <c r="O80" i="20"/>
  <c r="Q67" i="20"/>
  <c r="Q78" i="20" s="1"/>
  <c r="Q80" i="20" s="1"/>
  <c r="S62" i="20"/>
  <c r="S144" i="16" s="1"/>
  <c r="T38" i="20"/>
  <c r="T59" i="20"/>
  <c r="T137" i="16" s="1"/>
  <c r="P110" i="22" s="1"/>
  <c r="T54" i="20"/>
  <c r="T40" i="20"/>
  <c r="T43" i="20"/>
  <c r="N107" i="18"/>
  <c r="W41" i="20"/>
  <c r="V31" i="20"/>
  <c r="V37" i="20" s="1"/>
  <c r="U50" i="20"/>
  <c r="U46" i="20"/>
  <c r="W44" i="20"/>
  <c r="N100" i="18"/>
  <c r="N110" i="18"/>
  <c r="P86" i="20"/>
  <c r="P80" i="20"/>
  <c r="R88" i="20"/>
  <c r="R63" i="20"/>
  <c r="R65" i="20"/>
  <c r="T75" i="20"/>
  <c r="T69" i="20"/>
  <c r="R72" i="20"/>
  <c r="R60" i="20"/>
  <c r="R76" i="20"/>
  <c r="R70" i="20"/>
  <c r="Q90" i="20"/>
  <c r="Q89" i="20"/>
  <c r="O84" i="18"/>
  <c r="R67" i="18"/>
  <c r="O109" i="18"/>
  <c r="O143" i="16"/>
  <c r="R75" i="18"/>
  <c r="R93" i="18" s="1"/>
  <c r="R72" i="18"/>
  <c r="R80" i="18"/>
  <c r="R69" i="18"/>
  <c r="S66" i="18"/>
  <c r="S67" i="18" s="1"/>
  <c r="Q67" i="18"/>
  <c r="Q69" i="18"/>
  <c r="Q80" i="18"/>
  <c r="Q136" i="16" s="1"/>
  <c r="M109" i="22" s="1"/>
  <c r="Q75" i="18"/>
  <c r="Q93" i="18" s="1"/>
  <c r="Q72" i="18"/>
  <c r="T40" i="18"/>
  <c r="T43" i="18"/>
  <c r="T47" i="18"/>
  <c r="U36" i="18"/>
  <c r="P83" i="18"/>
  <c r="P143" i="16" s="1"/>
  <c r="W35" i="18"/>
  <c r="V34" i="18"/>
  <c r="P91" i="18"/>
  <c r="P97" i="18"/>
  <c r="P81" i="18"/>
  <c r="U38" i="18"/>
  <c r="O101" i="18"/>
  <c r="O107" i="18"/>
  <c r="O100" i="18"/>
  <c r="M102" i="14"/>
  <c r="R67" i="20" l="1"/>
  <c r="R78" i="20" s="1"/>
  <c r="R80" i="20" s="1"/>
  <c r="T62" i="20"/>
  <c r="T144" i="16" s="1"/>
  <c r="X41" i="20"/>
  <c r="X44" i="20"/>
  <c r="U59" i="20"/>
  <c r="U137" i="16" s="1"/>
  <c r="Q110" i="22" s="1"/>
  <c r="U54" i="20"/>
  <c r="U38" i="20"/>
  <c r="U40" i="20"/>
  <c r="U43" i="20"/>
  <c r="W31" i="20"/>
  <c r="W37" i="20" s="1"/>
  <c r="V50" i="20"/>
  <c r="V46" i="20"/>
  <c r="Q86" i="20"/>
  <c r="Q79" i="20"/>
  <c r="T70" i="20"/>
  <c r="U75" i="20"/>
  <c r="U69" i="20"/>
  <c r="T76" i="20"/>
  <c r="R90" i="20"/>
  <c r="R89" i="20"/>
  <c r="T90" i="18"/>
  <c r="T96" i="18"/>
  <c r="R91" i="18"/>
  <c r="R136" i="16"/>
  <c r="N109" i="22" s="1"/>
  <c r="Q81" i="18"/>
  <c r="O110" i="18"/>
  <c r="O111" i="18"/>
  <c r="S72" i="18"/>
  <c r="S69" i="18"/>
  <c r="S75" i="18"/>
  <c r="S93" i="18" s="1"/>
  <c r="S80" i="18"/>
  <c r="R83" i="18"/>
  <c r="R97" i="18"/>
  <c r="R81" i="18"/>
  <c r="Q91" i="18"/>
  <c r="Q97" i="18"/>
  <c r="Q83" i="18"/>
  <c r="Q143" i="16" s="1"/>
  <c r="V36" i="18"/>
  <c r="U40" i="18"/>
  <c r="U43" i="18"/>
  <c r="U47" i="18"/>
  <c r="X35" i="18"/>
  <c r="W34" i="18"/>
  <c r="P86" i="18"/>
  <c r="P88" i="18" s="1"/>
  <c r="P99" i="18" s="1"/>
  <c r="P109" i="18"/>
  <c r="P84" i="18"/>
  <c r="V38" i="18"/>
  <c r="T41" i="18"/>
  <c r="T63" i="18" s="1"/>
  <c r="T64" i="18"/>
  <c r="N102" i="14"/>
  <c r="U62" i="20" l="1"/>
  <c r="U144" i="16" s="1"/>
  <c r="X31" i="20"/>
  <c r="X37" i="20" s="1"/>
  <c r="W50" i="20"/>
  <c r="W46" i="20"/>
  <c r="Y44" i="20"/>
  <c r="Y41" i="20"/>
  <c r="V38" i="20"/>
  <c r="V59" i="20"/>
  <c r="V137" i="16" s="1"/>
  <c r="R110" i="22" s="1"/>
  <c r="V54" i="20"/>
  <c r="V40" i="20"/>
  <c r="V43" i="20"/>
  <c r="R86" i="20"/>
  <c r="R79" i="20"/>
  <c r="S63" i="20"/>
  <c r="T88" i="20"/>
  <c r="T63" i="20"/>
  <c r="T65" i="20"/>
  <c r="T72" i="20"/>
  <c r="T60" i="20"/>
  <c r="V69" i="20"/>
  <c r="V75" i="20"/>
  <c r="S72" i="20"/>
  <c r="S60" i="20"/>
  <c r="S76" i="20"/>
  <c r="S70" i="20"/>
  <c r="U90" i="18"/>
  <c r="U96" i="18"/>
  <c r="R86" i="18"/>
  <c r="R88" i="18" s="1"/>
  <c r="R99" i="18" s="1"/>
  <c r="R107" i="18" s="1"/>
  <c r="R143" i="16"/>
  <c r="S91" i="18"/>
  <c r="S136" i="16"/>
  <c r="O109" i="22" s="1"/>
  <c r="S81" i="18"/>
  <c r="S83" i="18"/>
  <c r="S86" i="18" s="1"/>
  <c r="S88" i="18" s="1"/>
  <c r="S99" i="18" s="1"/>
  <c r="S97" i="18"/>
  <c r="R109" i="18"/>
  <c r="R111" i="18" s="1"/>
  <c r="R84" i="18"/>
  <c r="T66" i="18"/>
  <c r="T67" i="18" s="1"/>
  <c r="Q84" i="18"/>
  <c r="Q109" i="18"/>
  <c r="Q111" i="18" s="1"/>
  <c r="Q86" i="18"/>
  <c r="Q88" i="18" s="1"/>
  <c r="Q99" i="18" s="1"/>
  <c r="V40" i="18"/>
  <c r="V43" i="18"/>
  <c r="V47" i="18"/>
  <c r="P110" i="18"/>
  <c r="P111" i="18"/>
  <c r="Y35" i="18"/>
  <c r="X34" i="18"/>
  <c r="X38" i="18" s="1"/>
  <c r="U41" i="18"/>
  <c r="U63" i="18" s="1"/>
  <c r="U64" i="18"/>
  <c r="P107" i="18"/>
  <c r="P101" i="18"/>
  <c r="P100" i="18"/>
  <c r="W36" i="18"/>
  <c r="W38" i="18"/>
  <c r="O102" i="14"/>
  <c r="T67" i="20" l="1"/>
  <c r="T78" i="20" s="1"/>
  <c r="T80" i="20" s="1"/>
  <c r="V62" i="20"/>
  <c r="V144" i="16" s="1"/>
  <c r="Z41" i="20"/>
  <c r="W38" i="20"/>
  <c r="W59" i="20"/>
  <c r="W137" i="16" s="1"/>
  <c r="S110" i="22" s="1"/>
  <c r="W54" i="20"/>
  <c r="W40" i="20"/>
  <c r="W43" i="20"/>
  <c r="Z44" i="20"/>
  <c r="Y31" i="20"/>
  <c r="Y37" i="20" s="1"/>
  <c r="X50" i="20"/>
  <c r="X46" i="20"/>
  <c r="S88" i="20"/>
  <c r="T89" i="20" s="1"/>
  <c r="S65" i="20"/>
  <c r="T90" i="20"/>
  <c r="W69" i="20"/>
  <c r="W75" i="20"/>
  <c r="T72" i="18"/>
  <c r="V90" i="18"/>
  <c r="R100" i="18"/>
  <c r="V96" i="18"/>
  <c r="S84" i="18"/>
  <c r="R101" i="18"/>
  <c r="S109" i="18"/>
  <c r="S111" i="18" s="1"/>
  <c r="S143" i="16"/>
  <c r="Q110" i="18"/>
  <c r="T80" i="18"/>
  <c r="T97" i="18" s="1"/>
  <c r="T75" i="18"/>
  <c r="T93" i="18" s="1"/>
  <c r="U66" i="18"/>
  <c r="U67" i="18" s="1"/>
  <c r="Q107" i="18"/>
  <c r="Q101" i="18"/>
  <c r="Q100" i="18"/>
  <c r="T69" i="18"/>
  <c r="R110" i="18"/>
  <c r="W40" i="18"/>
  <c r="W43" i="18"/>
  <c r="W47" i="18"/>
  <c r="X36" i="18"/>
  <c r="X40" i="18"/>
  <c r="X43" i="18"/>
  <c r="X47" i="18"/>
  <c r="Z35" i="18"/>
  <c r="Y34" i="18"/>
  <c r="V41" i="18"/>
  <c r="V63" i="18" s="1"/>
  <c r="V64" i="18"/>
  <c r="S100" i="18"/>
  <c r="S107" i="18"/>
  <c r="S101" i="18"/>
  <c r="P102" i="14"/>
  <c r="S67" i="20" l="1"/>
  <c r="S78" i="20" s="1"/>
  <c r="S80" i="20" s="1"/>
  <c r="W62" i="20"/>
  <c r="W144" i="16" s="1"/>
  <c r="X38" i="20"/>
  <c r="X54" i="20"/>
  <c r="X59" i="20"/>
  <c r="X137" i="16" s="1"/>
  <c r="T110" i="22" s="1"/>
  <c r="X43" i="20"/>
  <c r="X40" i="20"/>
  <c r="Z31" i="20"/>
  <c r="Z37" i="20" s="1"/>
  <c r="Y50" i="20"/>
  <c r="Y46" i="20"/>
  <c r="AA44" i="20"/>
  <c r="AA41" i="20"/>
  <c r="K98" i="16" s="1"/>
  <c r="S90" i="20"/>
  <c r="S89" i="20"/>
  <c r="V88" i="20"/>
  <c r="T86" i="20"/>
  <c r="V65" i="20"/>
  <c r="W76" i="20"/>
  <c r="U88" i="20"/>
  <c r="U63" i="20"/>
  <c r="U65" i="20"/>
  <c r="W70" i="20"/>
  <c r="X69" i="20"/>
  <c r="X75" i="20"/>
  <c r="V72" i="20"/>
  <c r="V60" i="20"/>
  <c r="V76" i="20"/>
  <c r="U60" i="20"/>
  <c r="U72" i="20"/>
  <c r="U70" i="20"/>
  <c r="U76" i="20"/>
  <c r="V70" i="20"/>
  <c r="T83" i="18"/>
  <c r="T143" i="16" s="1"/>
  <c r="W90" i="18"/>
  <c r="X96" i="18"/>
  <c r="W96" i="18"/>
  <c r="T81" i="18"/>
  <c r="S110" i="18"/>
  <c r="T91" i="18"/>
  <c r="T136" i="16"/>
  <c r="P109" i="22" s="1"/>
  <c r="V66" i="18"/>
  <c r="V80" i="18" s="1"/>
  <c r="U72" i="18"/>
  <c r="U69" i="18"/>
  <c r="U75" i="18"/>
  <c r="U93" i="18" s="1"/>
  <c r="U80" i="18"/>
  <c r="AA35" i="18"/>
  <c r="AA34" i="18" s="1"/>
  <c r="Z34" i="18"/>
  <c r="Z38" i="18" s="1"/>
  <c r="X41" i="18"/>
  <c r="X63" i="18" s="1"/>
  <c r="X64" i="18"/>
  <c r="Y36" i="18"/>
  <c r="Y38" i="18"/>
  <c r="W41" i="18"/>
  <c r="W63" i="18" s="1"/>
  <c r="W64" i="18"/>
  <c r="X90" i="18"/>
  <c r="Q102" i="14"/>
  <c r="T79" i="20" l="1"/>
  <c r="S86" i="20"/>
  <c r="S79" i="20"/>
  <c r="V67" i="20"/>
  <c r="V78" i="20" s="1"/>
  <c r="U67" i="20"/>
  <c r="U78" i="20" s="1"/>
  <c r="U80" i="20" s="1"/>
  <c r="AA31" i="20"/>
  <c r="Z50" i="20"/>
  <c r="Z46" i="20"/>
  <c r="X62" i="20"/>
  <c r="X144" i="16" s="1"/>
  <c r="Y38" i="20"/>
  <c r="Y54" i="20"/>
  <c r="Y59" i="20"/>
  <c r="Y137" i="16" s="1"/>
  <c r="U110" i="22" s="1"/>
  <c r="Y43" i="20"/>
  <c r="Y40" i="20"/>
  <c r="T86" i="18"/>
  <c r="T88" i="18" s="1"/>
  <c r="T99" i="18" s="1"/>
  <c r="T100" i="18" s="1"/>
  <c r="V72" i="18"/>
  <c r="V63" i="20"/>
  <c r="W88" i="20"/>
  <c r="W63" i="20"/>
  <c r="W65" i="20"/>
  <c r="X76" i="20"/>
  <c r="X70" i="20"/>
  <c r="W72" i="20"/>
  <c r="W60" i="20"/>
  <c r="Y75" i="20"/>
  <c r="Y69" i="20"/>
  <c r="T84" i="18"/>
  <c r="T109" i="18"/>
  <c r="T111" i="18" s="1"/>
  <c r="U90" i="20"/>
  <c r="U89" i="20"/>
  <c r="V90" i="20"/>
  <c r="V89" i="20"/>
  <c r="V75" i="18"/>
  <c r="V93" i="18" s="1"/>
  <c r="U83" i="18"/>
  <c r="U109" i="18" s="1"/>
  <c r="U111" i="18" s="1"/>
  <c r="V67" i="18"/>
  <c r="V69" i="18"/>
  <c r="V97" i="18"/>
  <c r="V136" i="16"/>
  <c r="R109" i="22" s="1"/>
  <c r="V91" i="18"/>
  <c r="U81" i="18"/>
  <c r="U136" i="16"/>
  <c r="Q109" i="22" s="1"/>
  <c r="U97" i="18"/>
  <c r="U91" i="18"/>
  <c r="W66" i="18"/>
  <c r="W67" i="18" s="1"/>
  <c r="V81" i="18"/>
  <c r="Y40" i="18"/>
  <c r="Y43" i="18"/>
  <c r="Y47" i="18"/>
  <c r="Z40" i="18"/>
  <c r="Z43" i="18"/>
  <c r="Z47" i="18"/>
  <c r="X66" i="18"/>
  <c r="AA38" i="18"/>
  <c r="Z36" i="18"/>
  <c r="AA36" i="18"/>
  <c r="R102" i="14"/>
  <c r="W67" i="20" l="1"/>
  <c r="W78" i="20" s="1"/>
  <c r="W86" i="20" s="1"/>
  <c r="K91" i="16"/>
  <c r="K92" i="16" s="1"/>
  <c r="AA37" i="20"/>
  <c r="Y62" i="20"/>
  <c r="Y144" i="16" s="1"/>
  <c r="Z38" i="20"/>
  <c r="Z54" i="20"/>
  <c r="Z59" i="20"/>
  <c r="Z137" i="16" s="1"/>
  <c r="V110" i="22" s="1"/>
  <c r="Z40" i="20"/>
  <c r="Z43" i="20"/>
  <c r="AA50" i="20"/>
  <c r="AA69" i="20" s="1"/>
  <c r="AA46" i="20"/>
  <c r="AA75" i="20" s="1"/>
  <c r="V83" i="18"/>
  <c r="V109" i="18" s="1"/>
  <c r="V111" i="18" s="1"/>
  <c r="U86" i="20"/>
  <c r="U79" i="20"/>
  <c r="T107" i="18"/>
  <c r="V79" i="20"/>
  <c r="T101" i="18"/>
  <c r="V80" i="20"/>
  <c r="V86" i="20"/>
  <c r="X88" i="20"/>
  <c r="X63" i="20"/>
  <c r="X65" i="20"/>
  <c r="Z69" i="20"/>
  <c r="Z75" i="20"/>
  <c r="W90" i="20"/>
  <c r="W89" i="20"/>
  <c r="Y70" i="20"/>
  <c r="X72" i="20"/>
  <c r="X60" i="20"/>
  <c r="T110" i="18"/>
  <c r="Y90" i="18"/>
  <c r="Y96" i="18"/>
  <c r="Z96" i="18"/>
  <c r="U143" i="16"/>
  <c r="U84" i="18"/>
  <c r="U86" i="18"/>
  <c r="U88" i="18" s="1"/>
  <c r="U99" i="18" s="1"/>
  <c r="U100" i="18" s="1"/>
  <c r="X67" i="18"/>
  <c r="W69" i="18"/>
  <c r="W80" i="18"/>
  <c r="W136" i="16" s="1"/>
  <c r="S109" i="22" s="1"/>
  <c r="W72" i="18"/>
  <c r="W75" i="18"/>
  <c r="W93" i="18" s="1"/>
  <c r="AA40" i="18"/>
  <c r="K59" i="16" s="1"/>
  <c r="AA43" i="18"/>
  <c r="AA47" i="18"/>
  <c r="Z41" i="18"/>
  <c r="Z63" i="18" s="1"/>
  <c r="Z64" i="18"/>
  <c r="Y41" i="18"/>
  <c r="Y63" i="18" s="1"/>
  <c r="Y64" i="18"/>
  <c r="U110" i="18"/>
  <c r="X69" i="18"/>
  <c r="X75" i="18"/>
  <c r="X93" i="18" s="1"/>
  <c r="X80" i="18"/>
  <c r="X136" i="16" s="1"/>
  <c r="T109" i="22" s="1"/>
  <c r="X72" i="18"/>
  <c r="Z90" i="18"/>
  <c r="S102" i="14"/>
  <c r="X67" i="20" l="1"/>
  <c r="X78" i="20" s="1"/>
  <c r="X86" i="20" s="1"/>
  <c r="AA59" i="20"/>
  <c r="K97" i="16" s="1"/>
  <c r="Z62" i="20"/>
  <c r="Z144" i="16" s="1"/>
  <c r="V143" i="16"/>
  <c r="V84" i="18"/>
  <c r="W80" i="20"/>
  <c r="W79" i="20"/>
  <c r="V86" i="18"/>
  <c r="V88" i="18" s="1"/>
  <c r="V99" i="18" s="1"/>
  <c r="V107" i="18" s="1"/>
  <c r="V110" i="18"/>
  <c r="Y88" i="20"/>
  <c r="Y65" i="20"/>
  <c r="Y72" i="20"/>
  <c r="Y60" i="20"/>
  <c r="Y76" i="20"/>
  <c r="X90" i="20"/>
  <c r="X89" i="20"/>
  <c r="AA90" i="18"/>
  <c r="AA96" i="18"/>
  <c r="U101" i="18"/>
  <c r="U107" i="18"/>
  <c r="W83" i="18"/>
  <c r="W86" i="18" s="1"/>
  <c r="W88" i="18" s="1"/>
  <c r="W99" i="18" s="1"/>
  <c r="W97" i="18"/>
  <c r="W91" i="18"/>
  <c r="W81" i="18"/>
  <c r="Z66" i="18"/>
  <c r="Y66" i="18"/>
  <c r="Y67" i="18" s="1"/>
  <c r="AA41" i="18"/>
  <c r="AA64" i="18"/>
  <c r="X83" i="18"/>
  <c r="X81" i="18"/>
  <c r="X97" i="18"/>
  <c r="X91" i="18"/>
  <c r="T102" i="14"/>
  <c r="Y67" i="20" l="1"/>
  <c r="Y78" i="20" s="1"/>
  <c r="Y79" i="20" s="1"/>
  <c r="AA54" i="20"/>
  <c r="K96" i="16"/>
  <c r="AA137" i="16"/>
  <c r="W110" i="22" s="1"/>
  <c r="AA38" i="20"/>
  <c r="AA43" i="20"/>
  <c r="AA40" i="20"/>
  <c r="W100" i="18"/>
  <c r="V100" i="18"/>
  <c r="V101" i="18"/>
  <c r="X80" i="20"/>
  <c r="X79" i="20"/>
  <c r="Y63" i="20"/>
  <c r="W84" i="18"/>
  <c r="W143" i="16"/>
  <c r="Y90" i="20"/>
  <c r="Y89" i="20"/>
  <c r="AA63" i="18"/>
  <c r="AA66" i="18" s="1"/>
  <c r="AA67" i="18" s="1"/>
  <c r="K56" i="16"/>
  <c r="W109" i="18"/>
  <c r="W111" i="18" s="1"/>
  <c r="X109" i="18"/>
  <c r="X111" i="18" s="1"/>
  <c r="X143" i="16"/>
  <c r="Z75" i="18"/>
  <c r="Z93" i="18" s="1"/>
  <c r="Y72" i="18"/>
  <c r="Y80" i="18"/>
  <c r="Y81" i="18" s="1"/>
  <c r="Y75" i="18"/>
  <c r="Y93" i="18" s="1"/>
  <c r="Y69" i="18"/>
  <c r="Z72" i="18"/>
  <c r="Z80" i="18"/>
  <c r="Z97" i="18" s="1"/>
  <c r="Z69" i="18"/>
  <c r="Z67" i="18"/>
  <c r="X84" i="18"/>
  <c r="X86" i="18"/>
  <c r="X88" i="18" s="1"/>
  <c r="X99" i="18" s="1"/>
  <c r="X100" i="18" s="1"/>
  <c r="W101" i="18"/>
  <c r="W107" i="18"/>
  <c r="U102" i="14"/>
  <c r="AA62" i="20" l="1"/>
  <c r="AA144" i="16" s="1"/>
  <c r="Y86" i="20"/>
  <c r="Y80" i="20"/>
  <c r="Z88" i="20"/>
  <c r="AA72" i="20"/>
  <c r="AA60" i="20"/>
  <c r="AA70" i="20"/>
  <c r="K101" i="16" s="1"/>
  <c r="AA76" i="20"/>
  <c r="K100" i="16" s="1"/>
  <c r="Z72" i="20"/>
  <c r="Z60" i="20"/>
  <c r="Z76" i="20"/>
  <c r="Z70" i="20"/>
  <c r="Z83" i="18"/>
  <c r="Z143" i="16" s="1"/>
  <c r="X110" i="18"/>
  <c r="W110" i="18"/>
  <c r="Z91" i="18"/>
  <c r="Z136" i="16"/>
  <c r="V109" i="22" s="1"/>
  <c r="Y97" i="18"/>
  <c r="Y136" i="16"/>
  <c r="U109" i="22" s="1"/>
  <c r="Y91" i="18"/>
  <c r="Y83" i="18"/>
  <c r="Z81" i="18"/>
  <c r="AA72" i="18"/>
  <c r="AA80" i="18"/>
  <c r="AA75" i="18"/>
  <c r="AA69" i="18"/>
  <c r="X107" i="18"/>
  <c r="X101" i="18"/>
  <c r="V102" i="14"/>
  <c r="AA81" i="18" l="1"/>
  <c r="K66" i="16"/>
  <c r="AA88" i="20"/>
  <c r="AA89" i="20" s="1"/>
  <c r="AA93" i="18"/>
  <c r="Z63" i="20"/>
  <c r="Z65" i="20"/>
  <c r="AA63" i="20"/>
  <c r="AA65" i="20"/>
  <c r="Z90" i="20"/>
  <c r="Z89" i="20"/>
  <c r="AA136" i="16"/>
  <c r="W109" i="22" s="1"/>
  <c r="K65" i="16"/>
  <c r="Z86" i="18"/>
  <c r="Z88" i="18" s="1"/>
  <c r="Z99" i="18" s="1"/>
  <c r="Z101" i="18" s="1"/>
  <c r="Z109" i="18"/>
  <c r="Z111" i="18" s="1"/>
  <c r="Z84" i="18"/>
  <c r="AA91" i="18"/>
  <c r="K70" i="16" s="1"/>
  <c r="AA97" i="18"/>
  <c r="K69" i="16" s="1"/>
  <c r="Y86" i="18"/>
  <c r="Y88" i="18" s="1"/>
  <c r="Y99" i="18" s="1"/>
  <c r="Y100" i="18" s="1"/>
  <c r="Y143" i="16"/>
  <c r="AA83" i="18"/>
  <c r="AA84" i="18" s="1"/>
  <c r="Y84" i="18"/>
  <c r="Y109" i="18"/>
  <c r="Y111" i="18" s="1"/>
  <c r="W102" i="14"/>
  <c r="AA67" i="20" l="1"/>
  <c r="AA78" i="20" s="1"/>
  <c r="AA86" i="20" s="1"/>
  <c r="Z67" i="20"/>
  <c r="Z78" i="20" s="1"/>
  <c r="J21" i="20"/>
  <c r="AA90" i="20"/>
  <c r="K99" i="16" s="1"/>
  <c r="Z107" i="18"/>
  <c r="Y110" i="18"/>
  <c r="Z110" i="18"/>
  <c r="Z100" i="18"/>
  <c r="Y101" i="18"/>
  <c r="Y107" i="18"/>
  <c r="AA109" i="18"/>
  <c r="AA143" i="16"/>
  <c r="AA86" i="18"/>
  <c r="X102" i="14"/>
  <c r="AA79" i="20" l="1"/>
  <c r="Z79" i="20"/>
  <c r="O21" i="20"/>
  <c r="O24" i="20" s="1"/>
  <c r="AA80" i="20"/>
  <c r="J22" i="20"/>
  <c r="Z80" i="20"/>
  <c r="Z86" i="20"/>
  <c r="O25" i="20" s="1"/>
  <c r="J24" i="20"/>
  <c r="AA88" i="18"/>
  <c r="AA99" i="18" s="1"/>
  <c r="AA107" i="18" s="1"/>
  <c r="J25" i="18" s="1"/>
  <c r="AA110" i="18"/>
  <c r="J21" i="18"/>
  <c r="J24" i="18" s="1"/>
  <c r="AA111" i="18"/>
  <c r="K68" i="16" s="1"/>
  <c r="Y102" i="14"/>
  <c r="J25" i="20" l="1"/>
  <c r="J26" i="20" s="1"/>
  <c r="O26" i="20"/>
  <c r="D215" i="16" s="1"/>
  <c r="O22" i="20"/>
  <c r="AA101" i="18"/>
  <c r="AA100" i="18"/>
  <c r="O25" i="18"/>
  <c r="O21" i="18"/>
  <c r="O22" i="18" s="1"/>
  <c r="J26" i="18"/>
  <c r="J22" i="18"/>
  <c r="Z102" i="14"/>
  <c r="H109" i="16" l="1"/>
  <c r="J104" i="16"/>
  <c r="E121" i="16" s="1"/>
  <c r="F8" i="22" s="1"/>
  <c r="O24" i="18"/>
  <c r="O26" i="18" s="1"/>
  <c r="AA102" i="14"/>
  <c r="D205" i="16" l="1"/>
  <c r="H78" i="16"/>
  <c r="J73" i="16"/>
  <c r="E120" i="16" s="1"/>
  <c r="F7" i="22" s="1"/>
  <c r="E10" i="14"/>
  <c r="H59" i="14" l="1"/>
  <c r="I59" i="14" s="1"/>
  <c r="J59" i="14" s="1"/>
  <c r="K59" i="14" s="1"/>
  <c r="L59" i="14" s="1"/>
  <c r="M59" i="14" s="1"/>
  <c r="N59" i="14" s="1"/>
  <c r="O59" i="14" s="1"/>
  <c r="P59" i="14" s="1"/>
  <c r="Q59" i="14" s="1"/>
  <c r="R59" i="14" s="1"/>
  <c r="S59" i="14" s="1"/>
  <c r="T59" i="14" s="1"/>
  <c r="U59" i="14" s="1"/>
  <c r="V59" i="14" s="1"/>
  <c r="W59" i="14" s="1"/>
  <c r="X59" i="14" s="1"/>
  <c r="Y59" i="14" s="1"/>
  <c r="Z59" i="14" s="1"/>
  <c r="AA59" i="14" s="1"/>
  <c r="K30" i="16" s="1"/>
  <c r="I48" i="14"/>
  <c r="H35" i="14"/>
  <c r="H51" i="14"/>
  <c r="H50" i="14" s="1"/>
  <c r="H54" i="14" s="1"/>
  <c r="J48" i="14" l="1"/>
  <c r="K48" i="14" s="1"/>
  <c r="L48" i="14" s="1"/>
  <c r="M48" i="14" s="1"/>
  <c r="N48" i="14" s="1"/>
  <c r="O48" i="14" s="1"/>
  <c r="P48" i="14" s="1"/>
  <c r="Q48" i="14" s="1"/>
  <c r="R48" i="14" s="1"/>
  <c r="S48" i="14" s="1"/>
  <c r="T48" i="14" s="1"/>
  <c r="U48" i="14" s="1"/>
  <c r="V48" i="14" s="1"/>
  <c r="W48" i="14" s="1"/>
  <c r="X48" i="14" s="1"/>
  <c r="Y48" i="14" s="1"/>
  <c r="Z48" i="14" s="1"/>
  <c r="AA48" i="14" s="1"/>
  <c r="I47" i="14"/>
  <c r="I51" i="14"/>
  <c r="I35" i="14"/>
  <c r="H34" i="14"/>
  <c r="J47" i="14" l="1"/>
  <c r="K47" i="14" s="1"/>
  <c r="L47" i="14" s="1"/>
  <c r="M47" i="14" s="1"/>
  <c r="N47" i="14" s="1"/>
  <c r="O47" i="14" s="1"/>
  <c r="P47" i="14" s="1"/>
  <c r="Q47" i="14" s="1"/>
  <c r="R47" i="14" s="1"/>
  <c r="S47" i="14" s="1"/>
  <c r="T47" i="14" s="1"/>
  <c r="U47" i="14" s="1"/>
  <c r="V47" i="14" s="1"/>
  <c r="W47" i="14" s="1"/>
  <c r="X47" i="14" s="1"/>
  <c r="Y47" i="14" s="1"/>
  <c r="Z47" i="14" s="1"/>
  <c r="AA47" i="14" s="1"/>
  <c r="K26" i="16" s="1"/>
  <c r="H68" i="14"/>
  <c r="H64" i="14"/>
  <c r="H93" i="14" s="1"/>
  <c r="H171" i="16" s="1"/>
  <c r="H40" i="14"/>
  <c r="H41" i="14" s="1"/>
  <c r="H53" i="14" s="1"/>
  <c r="H55" i="14" s="1"/>
  <c r="J35" i="14"/>
  <c r="I34" i="14"/>
  <c r="J51" i="14"/>
  <c r="I50" i="14"/>
  <c r="I54" i="14" s="1"/>
  <c r="K51" i="14" l="1"/>
  <c r="J50" i="14"/>
  <c r="J54" i="14" s="1"/>
  <c r="I68" i="14"/>
  <c r="I87" i="14" s="1"/>
  <c r="I165" i="16" s="1"/>
  <c r="I64" i="14"/>
  <c r="I93" i="14" s="1"/>
  <c r="I171" i="16" s="1"/>
  <c r="K35" i="14"/>
  <c r="J34" i="14"/>
  <c r="J40" i="14" s="1"/>
  <c r="J41" i="14" s="1"/>
  <c r="J53" i="14" s="1"/>
  <c r="I40" i="14"/>
  <c r="I41" i="14" s="1"/>
  <c r="I53" i="14" s="1"/>
  <c r="I55" i="14" s="1"/>
  <c r="H72" i="14"/>
  <c r="H90" i="14" s="1"/>
  <c r="H169" i="16" s="1"/>
  <c r="H56" i="14"/>
  <c r="H58" i="14"/>
  <c r="H77" i="14"/>
  <c r="H61" i="14"/>
  <c r="H87" i="14"/>
  <c r="H165" i="16" s="1"/>
  <c r="J55" i="14" l="1"/>
  <c r="J72" i="14" s="1"/>
  <c r="H80" i="14"/>
  <c r="H142" i="16" s="1"/>
  <c r="H145" i="16" s="1"/>
  <c r="H135" i="16"/>
  <c r="D108" i="22" s="1"/>
  <c r="H78" i="14"/>
  <c r="H91" i="14"/>
  <c r="H94" i="14"/>
  <c r="I72" i="14"/>
  <c r="I77" i="14"/>
  <c r="I88" i="14" s="1"/>
  <c r="I58" i="14"/>
  <c r="I56" i="14"/>
  <c r="I61" i="14"/>
  <c r="J68" i="14"/>
  <c r="J87" i="14" s="1"/>
  <c r="J165" i="16" s="1"/>
  <c r="J64" i="14"/>
  <c r="J93" i="14" s="1"/>
  <c r="J171" i="16" s="1"/>
  <c r="L35" i="14"/>
  <c r="K34" i="14"/>
  <c r="K40" i="14" s="1"/>
  <c r="K41" i="14" s="1"/>
  <c r="K53" i="14" s="1"/>
  <c r="L51" i="14"/>
  <c r="K50" i="14"/>
  <c r="K54" i="14" s="1"/>
  <c r="H88" i="14"/>
  <c r="H138" i="16" l="1"/>
  <c r="H146" i="16" s="1"/>
  <c r="H83" i="14"/>
  <c r="H106" i="14"/>
  <c r="H107" i="14" s="1"/>
  <c r="H81" i="14"/>
  <c r="I80" i="14"/>
  <c r="I106" i="14" s="1"/>
  <c r="J61" i="14"/>
  <c r="J56" i="14"/>
  <c r="J58" i="14"/>
  <c r="J77" i="14"/>
  <c r="I135" i="16"/>
  <c r="E108" i="22" s="1"/>
  <c r="I90" i="14"/>
  <c r="I169" i="16" s="1"/>
  <c r="I78" i="14"/>
  <c r="I94" i="14"/>
  <c r="M51" i="14"/>
  <c r="L50" i="14"/>
  <c r="L54" i="14" s="1"/>
  <c r="K68" i="14"/>
  <c r="K87" i="14" s="1"/>
  <c r="K165" i="16" s="1"/>
  <c r="K64" i="14"/>
  <c r="K93" i="14" s="1"/>
  <c r="K171" i="16" s="1"/>
  <c r="M35" i="14"/>
  <c r="L34" i="14"/>
  <c r="K55" i="14"/>
  <c r="J94" i="14" l="1"/>
  <c r="J29" i="16"/>
  <c r="H85" i="14"/>
  <c r="H96" i="14" s="1"/>
  <c r="H98" i="14" s="1"/>
  <c r="H187" i="16"/>
  <c r="H139" i="16"/>
  <c r="H148" i="16"/>
  <c r="H177" i="16"/>
  <c r="H178" i="16" s="1"/>
  <c r="I138" i="16"/>
  <c r="J135" i="16"/>
  <c r="F108" i="22" s="1"/>
  <c r="H108" i="14"/>
  <c r="I107" i="14"/>
  <c r="I83" i="14"/>
  <c r="I142" i="16"/>
  <c r="I145" i="16" s="1"/>
  <c r="I81" i="14"/>
  <c r="J90" i="14"/>
  <c r="J169" i="16" s="1"/>
  <c r="I108" i="14"/>
  <c r="J78" i="14"/>
  <c r="J88" i="14"/>
  <c r="J80" i="14"/>
  <c r="N35" i="14"/>
  <c r="M34" i="14"/>
  <c r="M40" i="14" s="1"/>
  <c r="M41" i="14" s="1"/>
  <c r="M53" i="14" s="1"/>
  <c r="K77" i="14"/>
  <c r="K88" i="14" s="1"/>
  <c r="K58" i="14"/>
  <c r="K56" i="14"/>
  <c r="K72" i="14"/>
  <c r="K61" i="14"/>
  <c r="L68" i="14"/>
  <c r="L87" i="14" s="1"/>
  <c r="L165" i="16" s="1"/>
  <c r="L64" i="14"/>
  <c r="L93" i="14" s="1"/>
  <c r="L171" i="16" s="1"/>
  <c r="L40" i="14"/>
  <c r="L41" i="14" s="1"/>
  <c r="L53" i="14" s="1"/>
  <c r="L55" i="14" s="1"/>
  <c r="N51" i="14"/>
  <c r="M50" i="14"/>
  <c r="M54" i="14" s="1"/>
  <c r="H185" i="16" l="1"/>
  <c r="H97" i="14"/>
  <c r="H104" i="14"/>
  <c r="I85" i="14"/>
  <c r="I96" i="14" s="1"/>
  <c r="I98" i="14" s="1"/>
  <c r="I187" i="16"/>
  <c r="I139" i="16"/>
  <c r="I148" i="16"/>
  <c r="H151" i="16"/>
  <c r="J138" i="16"/>
  <c r="I177" i="16"/>
  <c r="I178" i="16" s="1"/>
  <c r="I146" i="16"/>
  <c r="J142" i="16"/>
  <c r="J145" i="16" s="1"/>
  <c r="J83" i="14"/>
  <c r="J106" i="14"/>
  <c r="J81" i="14"/>
  <c r="M55" i="14"/>
  <c r="O51" i="14"/>
  <c r="N50" i="14"/>
  <c r="N54" i="14" s="1"/>
  <c r="L72" i="14"/>
  <c r="L56" i="14"/>
  <c r="L77" i="14"/>
  <c r="L94" i="14" s="1"/>
  <c r="L58" i="14"/>
  <c r="L61" i="14"/>
  <c r="K80" i="14"/>
  <c r="K142" i="16" s="1"/>
  <c r="K145" i="16" s="1"/>
  <c r="K135" i="16"/>
  <c r="G108" i="22" s="1"/>
  <c r="K78" i="14"/>
  <c r="K90" i="14"/>
  <c r="K169" i="16" s="1"/>
  <c r="K94" i="14"/>
  <c r="M68" i="14"/>
  <c r="M87" i="14" s="1"/>
  <c r="M165" i="16" s="1"/>
  <c r="M64" i="14"/>
  <c r="M93" i="14" s="1"/>
  <c r="M171" i="16" s="1"/>
  <c r="O35" i="14"/>
  <c r="N34" i="14"/>
  <c r="I104" i="14" l="1"/>
  <c r="I185" i="16"/>
  <c r="I97" i="14"/>
  <c r="I151" i="16"/>
  <c r="I155" i="16" s="1"/>
  <c r="J85" i="14"/>
  <c r="J96" i="14" s="1"/>
  <c r="J104" i="14" s="1"/>
  <c r="J187" i="16"/>
  <c r="J139" i="16"/>
  <c r="J148" i="16"/>
  <c r="J151" i="16" s="1"/>
  <c r="H180" i="16"/>
  <c r="H155" i="16"/>
  <c r="H156" i="16" s="1"/>
  <c r="J177" i="16"/>
  <c r="J178" i="16" s="1"/>
  <c r="K138" i="16"/>
  <c r="J146" i="16"/>
  <c r="J108" i="14"/>
  <c r="J107" i="14"/>
  <c r="L80" i="14"/>
  <c r="K81" i="14"/>
  <c r="K83" i="14"/>
  <c r="K106" i="14"/>
  <c r="L135" i="16"/>
  <c r="H108" i="22" s="1"/>
  <c r="L90" i="14"/>
  <c r="L169" i="16" s="1"/>
  <c r="L78" i="14"/>
  <c r="P51" i="14"/>
  <c r="O50" i="14"/>
  <c r="O54" i="14" s="1"/>
  <c r="N68" i="14"/>
  <c r="N87" i="14" s="1"/>
  <c r="N165" i="16" s="1"/>
  <c r="N64" i="14"/>
  <c r="N93" i="14" s="1"/>
  <c r="N171" i="16" s="1"/>
  <c r="P35" i="14"/>
  <c r="O34" i="14"/>
  <c r="O40" i="14" s="1"/>
  <c r="O41" i="14" s="1"/>
  <c r="O53" i="14" s="1"/>
  <c r="N40" i="14"/>
  <c r="N41" i="14" s="1"/>
  <c r="N53" i="14" s="1"/>
  <c r="N55" i="14" s="1"/>
  <c r="L88" i="14"/>
  <c r="M58" i="14"/>
  <c r="M72" i="14"/>
  <c r="M77" i="14"/>
  <c r="M94" i="14" s="1"/>
  <c r="M61" i="14"/>
  <c r="M56" i="14"/>
  <c r="J97" i="14" l="1"/>
  <c r="J98" i="14"/>
  <c r="H181" i="16"/>
  <c r="H182" i="16"/>
  <c r="I180" i="16"/>
  <c r="J185" i="16"/>
  <c r="K85" i="14"/>
  <c r="K96" i="14" s="1"/>
  <c r="K104" i="14" s="1"/>
  <c r="K187" i="16"/>
  <c r="H157" i="16"/>
  <c r="I154" i="16" s="1"/>
  <c r="I156" i="16" s="1"/>
  <c r="H159" i="16"/>
  <c r="H161" i="16" s="1"/>
  <c r="K139" i="16"/>
  <c r="K148" i="16"/>
  <c r="K146" i="16"/>
  <c r="K177" i="16"/>
  <c r="K178" i="16" s="1"/>
  <c r="L138" i="16"/>
  <c r="L177" i="16" s="1"/>
  <c r="L178" i="16" s="1"/>
  <c r="J180" i="16"/>
  <c r="J155" i="16"/>
  <c r="O55" i="14"/>
  <c r="O72" i="14" s="1"/>
  <c r="L83" i="14"/>
  <c r="L142" i="16"/>
  <c r="L145" i="16" s="1"/>
  <c r="L106" i="14"/>
  <c r="L108" i="14" s="1"/>
  <c r="L81" i="14"/>
  <c r="M80" i="14"/>
  <c r="M81" i="14" s="1"/>
  <c r="M88" i="14"/>
  <c r="Q35" i="14"/>
  <c r="P34" i="14"/>
  <c r="Q51" i="14"/>
  <c r="P50" i="14"/>
  <c r="P54" i="14" s="1"/>
  <c r="N72" i="14"/>
  <c r="N77" i="14"/>
  <c r="N61" i="14"/>
  <c r="N56" i="14"/>
  <c r="N58" i="14"/>
  <c r="O68" i="14"/>
  <c r="O87" i="14" s="1"/>
  <c r="O165" i="16" s="1"/>
  <c r="O64" i="14"/>
  <c r="O93" i="14" s="1"/>
  <c r="O171" i="16" s="1"/>
  <c r="K107" i="14"/>
  <c r="K108" i="14"/>
  <c r="M135" i="16"/>
  <c r="I108" i="22" s="1"/>
  <c r="M90" i="14"/>
  <c r="M169" i="16" s="1"/>
  <c r="M78" i="14"/>
  <c r="K97" i="14" l="1"/>
  <c r="K98" i="14"/>
  <c r="J182" i="16"/>
  <c r="J181" i="16"/>
  <c r="I181" i="16"/>
  <c r="I182" i="16"/>
  <c r="K185" i="16"/>
  <c r="H163" i="16"/>
  <c r="H173" i="16" s="1"/>
  <c r="H174" i="16" s="1"/>
  <c r="H188" i="16"/>
  <c r="L85" i="14"/>
  <c r="L96" i="14" s="1"/>
  <c r="L97" i="14" s="1"/>
  <c r="L187" i="16"/>
  <c r="K151" i="16"/>
  <c r="K180" i="16" s="1"/>
  <c r="I159" i="16"/>
  <c r="I161" i="16" s="1"/>
  <c r="I157" i="16"/>
  <c r="J154" i="16" s="1"/>
  <c r="J156" i="16" s="1"/>
  <c r="L139" i="16"/>
  <c r="L148" i="16"/>
  <c r="M138" i="16"/>
  <c r="L146" i="16"/>
  <c r="L107" i="14"/>
  <c r="O77" i="14"/>
  <c r="O135" i="16" s="1"/>
  <c r="K108" i="22" s="1"/>
  <c r="O61" i="14"/>
  <c r="O58" i="14"/>
  <c r="O56" i="14"/>
  <c r="M83" i="14"/>
  <c r="M106" i="14"/>
  <c r="M142" i="16"/>
  <c r="M145" i="16" s="1"/>
  <c r="N80" i="14"/>
  <c r="R35" i="14"/>
  <c r="Q34" i="14"/>
  <c r="Q40" i="14" s="1"/>
  <c r="Q41" i="14" s="1"/>
  <c r="Q53" i="14" s="1"/>
  <c r="N135" i="16"/>
  <c r="J108" i="22" s="1"/>
  <c r="N90" i="14"/>
  <c r="N169" i="16" s="1"/>
  <c r="N78" i="14"/>
  <c r="R51" i="14"/>
  <c r="Q50" i="14"/>
  <c r="Q54" i="14" s="1"/>
  <c r="P68" i="14"/>
  <c r="P87" i="14" s="1"/>
  <c r="P165" i="16" s="1"/>
  <c r="P64" i="14"/>
  <c r="P93" i="14" s="1"/>
  <c r="P171" i="16" s="1"/>
  <c r="N88" i="14"/>
  <c r="N94" i="14"/>
  <c r="P40" i="14"/>
  <c r="P41" i="14" s="1"/>
  <c r="P53" i="14" s="1"/>
  <c r="P55" i="14" s="1"/>
  <c r="K181" i="16" l="1"/>
  <c r="K182" i="16"/>
  <c r="K155" i="16"/>
  <c r="L185" i="16"/>
  <c r="L151" i="16"/>
  <c r="L180" i="16" s="1"/>
  <c r="L104" i="14"/>
  <c r="L98" i="14"/>
  <c r="I163" i="16"/>
  <c r="I173" i="16" s="1"/>
  <c r="I174" i="16" s="1"/>
  <c r="I188" i="16"/>
  <c r="M85" i="14"/>
  <c r="M96" i="14" s="1"/>
  <c r="M104" i="14" s="1"/>
  <c r="M187" i="16"/>
  <c r="M139" i="16"/>
  <c r="M148" i="16"/>
  <c r="M151" i="16" s="1"/>
  <c r="M177" i="16"/>
  <c r="M178" i="16" s="1"/>
  <c r="N138" i="16"/>
  <c r="O138" i="16"/>
  <c r="J157" i="16"/>
  <c r="K154" i="16" s="1"/>
  <c r="J159" i="16"/>
  <c r="J161" i="16" s="1"/>
  <c r="M146" i="16"/>
  <c r="O80" i="14"/>
  <c r="O142" i="16" s="1"/>
  <c r="O145" i="16" s="1"/>
  <c r="O94" i="14"/>
  <c r="O88" i="14"/>
  <c r="O78" i="14"/>
  <c r="O90" i="14"/>
  <c r="O169" i="16" s="1"/>
  <c r="Q55" i="14"/>
  <c r="Q58" i="14" s="1"/>
  <c r="N81" i="14"/>
  <c r="N142" i="16"/>
  <c r="N145" i="16" s="1"/>
  <c r="M107" i="14"/>
  <c r="M108" i="14"/>
  <c r="N106" i="14"/>
  <c r="N83" i="14"/>
  <c r="P72" i="14"/>
  <c r="P58" i="14"/>
  <c r="P77" i="14"/>
  <c r="P88" i="14" s="1"/>
  <c r="P61" i="14"/>
  <c r="P56" i="14"/>
  <c r="S35" i="14"/>
  <c r="R34" i="14"/>
  <c r="S51" i="14"/>
  <c r="R50" i="14"/>
  <c r="R54" i="14" s="1"/>
  <c r="Q68" i="14"/>
  <c r="Q87" i="14" s="1"/>
  <c r="Q165" i="16" s="1"/>
  <c r="Q64" i="14"/>
  <c r="Q93" i="14" s="1"/>
  <c r="Q171" i="16" s="1"/>
  <c r="L181" i="16" l="1"/>
  <c r="L182" i="16"/>
  <c r="K156" i="16"/>
  <c r="K157" i="16" s="1"/>
  <c r="L154" i="16" s="1"/>
  <c r="L155" i="16"/>
  <c r="M185" i="16"/>
  <c r="J163" i="16"/>
  <c r="J173" i="16" s="1"/>
  <c r="J174" i="16" s="1"/>
  <c r="J188" i="16"/>
  <c r="M98" i="14"/>
  <c r="M97" i="14"/>
  <c r="O139" i="16"/>
  <c r="N85" i="14"/>
  <c r="N96" i="14" s="1"/>
  <c r="N98" i="14" s="1"/>
  <c r="N187" i="16"/>
  <c r="O177" i="16"/>
  <c r="O178" i="16" s="1"/>
  <c r="O148" i="16"/>
  <c r="N139" i="16"/>
  <c r="N148" i="16"/>
  <c r="N177" i="16"/>
  <c r="N178" i="16" s="1"/>
  <c r="M180" i="16"/>
  <c r="M155" i="16"/>
  <c r="O146" i="16"/>
  <c r="N146" i="16"/>
  <c r="O81" i="14"/>
  <c r="O83" i="14"/>
  <c r="O106" i="14"/>
  <c r="O108" i="14" s="1"/>
  <c r="Q72" i="14"/>
  <c r="Q77" i="14"/>
  <c r="Q135" i="16" s="1"/>
  <c r="M108" i="22" s="1"/>
  <c r="Q56" i="14"/>
  <c r="Q61" i="14"/>
  <c r="Q80" i="14" s="1"/>
  <c r="P80" i="14"/>
  <c r="P142" i="16" s="1"/>
  <c r="P145" i="16" s="1"/>
  <c r="N107" i="14"/>
  <c r="N108" i="14"/>
  <c r="P135" i="16"/>
  <c r="L108" i="22" s="1"/>
  <c r="P90" i="14"/>
  <c r="P169" i="16" s="1"/>
  <c r="P78" i="14"/>
  <c r="R68" i="14"/>
  <c r="R87" i="14" s="1"/>
  <c r="R165" i="16" s="1"/>
  <c r="R64" i="14"/>
  <c r="R93" i="14" s="1"/>
  <c r="R171" i="16" s="1"/>
  <c r="T35" i="14"/>
  <c r="S34" i="14"/>
  <c r="R40" i="14"/>
  <c r="R41" i="14" s="1"/>
  <c r="R53" i="14" s="1"/>
  <c r="R55" i="14" s="1"/>
  <c r="T51" i="14"/>
  <c r="S50" i="14"/>
  <c r="S54" i="14" s="1"/>
  <c r="P94" i="14"/>
  <c r="K159" i="16" l="1"/>
  <c r="K161" i="16" s="1"/>
  <c r="K188" i="16" s="1"/>
  <c r="N97" i="14"/>
  <c r="N104" i="14"/>
  <c r="L156" i="16"/>
  <c r="L157" i="16" s="1"/>
  <c r="M154" i="16" s="1"/>
  <c r="M156" i="16" s="1"/>
  <c r="M181" i="16"/>
  <c r="M182" i="16"/>
  <c r="N185" i="16"/>
  <c r="O185" i="16"/>
  <c r="N151" i="16"/>
  <c r="N155" i="16" s="1"/>
  <c r="O151" i="16"/>
  <c r="O180" i="16" s="1"/>
  <c r="O85" i="14"/>
  <c r="O96" i="14" s="1"/>
  <c r="O104" i="14" s="1"/>
  <c r="O187" i="16"/>
  <c r="Q138" i="16"/>
  <c r="Q177" i="16" s="1"/>
  <c r="Q178" i="16" s="1"/>
  <c r="P138" i="16"/>
  <c r="O107" i="14"/>
  <c r="Q94" i="14"/>
  <c r="Q88" i="14"/>
  <c r="Q78" i="14"/>
  <c r="Q90" i="14"/>
  <c r="Q169" i="16" s="1"/>
  <c r="Q142" i="16"/>
  <c r="Q145" i="16" s="1"/>
  <c r="Q83" i="14"/>
  <c r="Q81" i="14"/>
  <c r="Q106" i="14"/>
  <c r="Q108" i="14" s="1"/>
  <c r="P83" i="14"/>
  <c r="P81" i="14"/>
  <c r="P106" i="14"/>
  <c r="R72" i="14"/>
  <c r="R56" i="14"/>
  <c r="R58" i="14"/>
  <c r="R77" i="14"/>
  <c r="R94" i="14" s="1"/>
  <c r="R61" i="14"/>
  <c r="U35" i="14"/>
  <c r="T34" i="14"/>
  <c r="T40" i="14" s="1"/>
  <c r="T41" i="14" s="1"/>
  <c r="T53" i="14" s="1"/>
  <c r="S68" i="14"/>
  <c r="S87" i="14" s="1"/>
  <c r="S165" i="16" s="1"/>
  <c r="S64" i="14"/>
  <c r="S93" i="14" s="1"/>
  <c r="S171" i="16" s="1"/>
  <c r="S40" i="14"/>
  <c r="S41" i="14" s="1"/>
  <c r="S53" i="14" s="1"/>
  <c r="S55" i="14" s="1"/>
  <c r="U51" i="14"/>
  <c r="T50" i="14"/>
  <c r="T54" i="14" s="1"/>
  <c r="O98" i="14" l="1"/>
  <c r="O97" i="14"/>
  <c r="L159" i="16"/>
  <c r="L161" i="16" s="1"/>
  <c r="L188" i="16" s="1"/>
  <c r="K163" i="16"/>
  <c r="K173" i="16" s="1"/>
  <c r="K174" i="16" s="1"/>
  <c r="O155" i="16"/>
  <c r="N180" i="16"/>
  <c r="N181" i="16" s="1"/>
  <c r="O181" i="16"/>
  <c r="Q85" i="14"/>
  <c r="Q96" i="14" s="1"/>
  <c r="Q98" i="14" s="1"/>
  <c r="Q187" i="16"/>
  <c r="P85" i="14"/>
  <c r="P96" i="14" s="1"/>
  <c r="P98" i="14" s="1"/>
  <c r="P187" i="16"/>
  <c r="P139" i="16"/>
  <c r="P148" i="16"/>
  <c r="Q148" i="16"/>
  <c r="P146" i="16"/>
  <c r="Q139" i="16"/>
  <c r="P177" i="16"/>
  <c r="P178" i="16" s="1"/>
  <c r="M157" i="16"/>
  <c r="N154" i="16" s="1"/>
  <c r="N156" i="16" s="1"/>
  <c r="M159" i="16"/>
  <c r="M161" i="16" s="1"/>
  <c r="Q146" i="16"/>
  <c r="Q107" i="14"/>
  <c r="P107" i="14"/>
  <c r="P108" i="14"/>
  <c r="R88" i="14"/>
  <c r="R80" i="14"/>
  <c r="R142" i="16" s="1"/>
  <c r="R145" i="16" s="1"/>
  <c r="V51" i="14"/>
  <c r="U50" i="14"/>
  <c r="U54" i="14" s="1"/>
  <c r="T55" i="14"/>
  <c r="T68" i="14"/>
  <c r="T87" i="14" s="1"/>
  <c r="T165" i="16" s="1"/>
  <c r="T64" i="14"/>
  <c r="T93" i="14" s="1"/>
  <c r="T171" i="16" s="1"/>
  <c r="S72" i="14"/>
  <c r="S56" i="14"/>
  <c r="S58" i="14"/>
  <c r="S77" i="14"/>
  <c r="S94" i="14" s="1"/>
  <c r="S61" i="14"/>
  <c r="V35" i="14"/>
  <c r="U34" i="14"/>
  <c r="U40" i="14" s="1"/>
  <c r="U41" i="14" s="1"/>
  <c r="U53" i="14" s="1"/>
  <c r="R135" i="16"/>
  <c r="N108" i="22" s="1"/>
  <c r="R90" i="14"/>
  <c r="R169" i="16" s="1"/>
  <c r="R78" i="14"/>
  <c r="L163" i="16" l="1"/>
  <c r="L173" i="16" s="1"/>
  <c r="L174" i="16" s="1"/>
  <c r="O182" i="16"/>
  <c r="N182" i="16"/>
  <c r="Q185" i="16"/>
  <c r="P185" i="16"/>
  <c r="M163" i="16"/>
  <c r="M173" i="16" s="1"/>
  <c r="M188" i="16"/>
  <c r="Q151" i="16"/>
  <c r="Q180" i="16" s="1"/>
  <c r="P97" i="14"/>
  <c r="P104" i="14"/>
  <c r="P151" i="16"/>
  <c r="R138" i="16"/>
  <c r="R177" i="16" s="1"/>
  <c r="R178" i="16" s="1"/>
  <c r="N157" i="16"/>
  <c r="O154" i="16" s="1"/>
  <c r="N159" i="16"/>
  <c r="N161" i="16" s="1"/>
  <c r="Q97" i="14"/>
  <c r="Q104" i="14"/>
  <c r="U55" i="14"/>
  <c r="U72" i="14" s="1"/>
  <c r="S80" i="14"/>
  <c r="S142" i="16" s="1"/>
  <c r="S145" i="16" s="1"/>
  <c r="R81" i="14"/>
  <c r="R83" i="14"/>
  <c r="R106" i="14"/>
  <c r="R107" i="14" s="1"/>
  <c r="S88" i="14"/>
  <c r="S135" i="16"/>
  <c r="O108" i="22" s="1"/>
  <c r="S90" i="14"/>
  <c r="S169" i="16" s="1"/>
  <c r="S78" i="14"/>
  <c r="T72" i="14"/>
  <c r="T77" i="14"/>
  <c r="T94" i="14" s="1"/>
  <c r="T58" i="14"/>
  <c r="T61" i="14"/>
  <c r="T56" i="14"/>
  <c r="W35" i="14"/>
  <c r="V34" i="14"/>
  <c r="W51" i="14"/>
  <c r="V50" i="14"/>
  <c r="V54" i="14" s="1"/>
  <c r="U68" i="14"/>
  <c r="U87" i="14" s="1"/>
  <c r="U165" i="16" s="1"/>
  <c r="U64" i="14"/>
  <c r="U93" i="14" s="1"/>
  <c r="U171" i="16" s="1"/>
  <c r="M174" i="16" l="1"/>
  <c r="Q181" i="16"/>
  <c r="Q155" i="16"/>
  <c r="R146" i="16"/>
  <c r="N163" i="16"/>
  <c r="N173" i="16" s="1"/>
  <c r="N174" i="16" s="1"/>
  <c r="N188" i="16"/>
  <c r="R85" i="14"/>
  <c r="R96" i="14" s="1"/>
  <c r="R98" i="14" s="1"/>
  <c r="R187" i="16"/>
  <c r="P180" i="16"/>
  <c r="Q182" i="16" s="1"/>
  <c r="P155" i="16"/>
  <c r="R139" i="16"/>
  <c r="R148" i="16"/>
  <c r="S138" i="16"/>
  <c r="S146" i="16" s="1"/>
  <c r="O156" i="16"/>
  <c r="O157" i="16" s="1"/>
  <c r="P154" i="16" s="1"/>
  <c r="U61" i="14"/>
  <c r="U58" i="14"/>
  <c r="U56" i="14"/>
  <c r="S106" i="14"/>
  <c r="S107" i="14" s="1"/>
  <c r="U77" i="14"/>
  <c r="U135" i="16" s="1"/>
  <c r="Q108" i="22" s="1"/>
  <c r="S83" i="14"/>
  <c r="S81" i="14"/>
  <c r="R108" i="14"/>
  <c r="T80" i="14"/>
  <c r="X35" i="14"/>
  <c r="W34" i="14"/>
  <c r="W40" i="14" s="1"/>
  <c r="W41" i="14" s="1"/>
  <c r="W53" i="14" s="1"/>
  <c r="V68" i="14"/>
  <c r="V87" i="14" s="1"/>
  <c r="V165" i="16" s="1"/>
  <c r="V64" i="14"/>
  <c r="V93" i="14" s="1"/>
  <c r="V171" i="16" s="1"/>
  <c r="T135" i="16"/>
  <c r="P108" i="22" s="1"/>
  <c r="T90" i="14"/>
  <c r="T169" i="16" s="1"/>
  <c r="T78" i="14"/>
  <c r="T88" i="14"/>
  <c r="V40" i="14"/>
  <c r="V41" i="14" s="1"/>
  <c r="V53" i="14" s="1"/>
  <c r="V55" i="14" s="1"/>
  <c r="X51" i="14"/>
  <c r="W50" i="14"/>
  <c r="W54" i="14" s="1"/>
  <c r="R97" i="14" l="1"/>
  <c r="R104" i="14"/>
  <c r="P181" i="16"/>
  <c r="P182" i="16"/>
  <c r="R185" i="16"/>
  <c r="S85" i="14"/>
  <c r="S96" i="14" s="1"/>
  <c r="S97" i="14" s="1"/>
  <c r="S187" i="16"/>
  <c r="R151" i="16"/>
  <c r="S139" i="16"/>
  <c r="S148" i="16"/>
  <c r="S177" i="16"/>
  <c r="S178" i="16" s="1"/>
  <c r="T138" i="16"/>
  <c r="U138" i="16"/>
  <c r="P156" i="16"/>
  <c r="O159" i="16"/>
  <c r="O161" i="16" s="1"/>
  <c r="S108" i="14"/>
  <c r="U94" i="14"/>
  <c r="U80" i="14"/>
  <c r="U142" i="16" s="1"/>
  <c r="U145" i="16" s="1"/>
  <c r="U88" i="14"/>
  <c r="U78" i="14"/>
  <c r="U90" i="14"/>
  <c r="U169" i="16" s="1"/>
  <c r="W55" i="14"/>
  <c r="W72" i="14" s="1"/>
  <c r="T81" i="14"/>
  <c r="T142" i="16"/>
  <c r="T145" i="16" s="1"/>
  <c r="T106" i="14"/>
  <c r="T108" i="14" s="1"/>
  <c r="T83" i="14"/>
  <c r="Y51" i="14"/>
  <c r="X50" i="14"/>
  <c r="X54" i="14" s="1"/>
  <c r="V72" i="14"/>
  <c r="V56" i="14"/>
  <c r="V77" i="14"/>
  <c r="V94" i="14" s="1"/>
  <c r="V58" i="14"/>
  <c r="V61" i="14"/>
  <c r="W68" i="14"/>
  <c r="W87" i="14" s="1"/>
  <c r="W165" i="16" s="1"/>
  <c r="W64" i="14"/>
  <c r="W93" i="14" s="1"/>
  <c r="W171" i="16" s="1"/>
  <c r="Y35" i="14"/>
  <c r="X34" i="14"/>
  <c r="U139" i="16" l="1"/>
  <c r="S185" i="16"/>
  <c r="S104" i="14"/>
  <c r="S98" i="14"/>
  <c r="O163" i="16"/>
  <c r="O173" i="16" s="1"/>
  <c r="O174" i="16" s="1"/>
  <c r="O188" i="16"/>
  <c r="T85" i="14"/>
  <c r="T96" i="14" s="1"/>
  <c r="T97" i="14" s="1"/>
  <c r="T187" i="16"/>
  <c r="U177" i="16"/>
  <c r="U178" i="16" s="1"/>
  <c r="U148" i="16"/>
  <c r="T139" i="16"/>
  <c r="T148" i="16"/>
  <c r="S151" i="16"/>
  <c r="R155" i="16"/>
  <c r="R180" i="16"/>
  <c r="T177" i="16"/>
  <c r="T178" i="16" s="1"/>
  <c r="P159" i="16"/>
  <c r="P161" i="16" s="1"/>
  <c r="P157" i="16"/>
  <c r="Q154" i="16" s="1"/>
  <c r="U146" i="16"/>
  <c r="T146" i="16"/>
  <c r="U106" i="14"/>
  <c r="U108" i="14" s="1"/>
  <c r="U81" i="14"/>
  <c r="U83" i="14"/>
  <c r="T107" i="14"/>
  <c r="W56" i="14"/>
  <c r="W61" i="14"/>
  <c r="W58" i="14"/>
  <c r="W77" i="14"/>
  <c r="W88" i="14" s="1"/>
  <c r="V80" i="14"/>
  <c r="V81" i="14" s="1"/>
  <c r="V88" i="14"/>
  <c r="Z51" i="14"/>
  <c r="Y50" i="14"/>
  <c r="Y54" i="14" s="1"/>
  <c r="X68" i="14"/>
  <c r="X87" i="14" s="1"/>
  <c r="X165" i="16" s="1"/>
  <c r="X64" i="14"/>
  <c r="X93" i="14" s="1"/>
  <c r="X171" i="16" s="1"/>
  <c r="Z35" i="14"/>
  <c r="Y34" i="14"/>
  <c r="X40" i="14"/>
  <c r="X41" i="14" s="1"/>
  <c r="X53" i="14" s="1"/>
  <c r="X55" i="14" s="1"/>
  <c r="V135" i="16"/>
  <c r="R108" i="22" s="1"/>
  <c r="V90" i="14"/>
  <c r="V169" i="16" s="1"/>
  <c r="V78" i="14"/>
  <c r="R181" i="16" l="1"/>
  <c r="R182" i="16"/>
  <c r="T185" i="16"/>
  <c r="U185" i="16"/>
  <c r="U151" i="16"/>
  <c r="U155" i="16" s="1"/>
  <c r="T151" i="16"/>
  <c r="T155" i="16" s="1"/>
  <c r="P163" i="16"/>
  <c r="P173" i="16" s="1"/>
  <c r="P174" i="16" s="1"/>
  <c r="P188" i="16"/>
  <c r="T104" i="14"/>
  <c r="T98" i="14"/>
  <c r="U85" i="14"/>
  <c r="U96" i="14" s="1"/>
  <c r="U98" i="14" s="1"/>
  <c r="U187" i="16"/>
  <c r="S180" i="16"/>
  <c r="S155" i="16"/>
  <c r="V138" i="16"/>
  <c r="V177" i="16" s="1"/>
  <c r="V178" i="16" s="1"/>
  <c r="Q156" i="16"/>
  <c r="W94" i="14"/>
  <c r="W78" i="14"/>
  <c r="U107" i="14"/>
  <c r="W80" i="14"/>
  <c r="W142" i="16" s="1"/>
  <c r="W145" i="16" s="1"/>
  <c r="W90" i="14"/>
  <c r="W169" i="16" s="1"/>
  <c r="W135" i="16"/>
  <c r="S108" i="22" s="1"/>
  <c r="V83" i="14"/>
  <c r="V106" i="14"/>
  <c r="V108" i="14" s="1"/>
  <c r="V142" i="16"/>
  <c r="V145" i="16" s="1"/>
  <c r="X72" i="14"/>
  <c r="X56" i="14"/>
  <c r="X77" i="14"/>
  <c r="X88" i="14" s="1"/>
  <c r="X58" i="14"/>
  <c r="X61" i="14"/>
  <c r="Y68" i="14"/>
  <c r="Y87" i="14" s="1"/>
  <c r="Y165" i="16" s="1"/>
  <c r="Y64" i="14"/>
  <c r="Y93" i="14" s="1"/>
  <c r="Y171" i="16" s="1"/>
  <c r="AA35" i="14"/>
  <c r="AA34" i="14" s="1"/>
  <c r="K22" i="16" s="1"/>
  <c r="Z34" i="14"/>
  <c r="Z40" i="14" s="1"/>
  <c r="Z41" i="14" s="1"/>
  <c r="Z53" i="14" s="1"/>
  <c r="Y40" i="14"/>
  <c r="Y41" i="14" s="1"/>
  <c r="Y53" i="14" s="1"/>
  <c r="Y55" i="14" s="1"/>
  <c r="AA51" i="14"/>
  <c r="AA50" i="14" s="1"/>
  <c r="Z50" i="14"/>
  <c r="Z54" i="14" s="1"/>
  <c r="U97" i="14" l="1"/>
  <c r="U180" i="16"/>
  <c r="U181" i="16" s="1"/>
  <c r="T180" i="16"/>
  <c r="S181" i="16"/>
  <c r="S182" i="16"/>
  <c r="U104" i="14"/>
  <c r="V85" i="14"/>
  <c r="V96" i="14" s="1"/>
  <c r="V97" i="14" s="1"/>
  <c r="V187" i="16"/>
  <c r="V139" i="16"/>
  <c r="V148" i="16"/>
  <c r="V151" i="16" s="1"/>
  <c r="W138" i="16"/>
  <c r="W146" i="16" s="1"/>
  <c r="Q159" i="16"/>
  <c r="Q161" i="16" s="1"/>
  <c r="Q157" i="16"/>
  <c r="R154" i="16" s="1"/>
  <c r="V146" i="16"/>
  <c r="W83" i="14"/>
  <c r="W81" i="14"/>
  <c r="W106" i="14"/>
  <c r="W107" i="14" s="1"/>
  <c r="AA54" i="14"/>
  <c r="K25" i="16"/>
  <c r="V107" i="14"/>
  <c r="X80" i="14"/>
  <c r="X142" i="16" s="1"/>
  <c r="X145" i="16" s="1"/>
  <c r="X94" i="14"/>
  <c r="Z55" i="14"/>
  <c r="Z77" i="14" s="1"/>
  <c r="Y72" i="14"/>
  <c r="Y56" i="14"/>
  <c r="Y58" i="14"/>
  <c r="Y77" i="14"/>
  <c r="Y94" i="14" s="1"/>
  <c r="Y61" i="14"/>
  <c r="Z68" i="14"/>
  <c r="Z87" i="14" s="1"/>
  <c r="Z165" i="16" s="1"/>
  <c r="Z64" i="14"/>
  <c r="Z93" i="14" s="1"/>
  <c r="Z171" i="16" s="1"/>
  <c r="AA40" i="14"/>
  <c r="AA41" i="14" s="1"/>
  <c r="AA53" i="14" s="1"/>
  <c r="AA68" i="14"/>
  <c r="AA87" i="14" s="1"/>
  <c r="AA165" i="16" s="1"/>
  <c r="AA64" i="14"/>
  <c r="AA93" i="14" s="1"/>
  <c r="AA171" i="16" s="1"/>
  <c r="X135" i="16"/>
  <c r="T108" i="22" s="1"/>
  <c r="X90" i="14"/>
  <c r="X169" i="16" s="1"/>
  <c r="X78" i="14"/>
  <c r="U182" i="16" l="1"/>
  <c r="T182" i="16"/>
  <c r="T181" i="16"/>
  <c r="W139" i="16"/>
  <c r="V104" i="14"/>
  <c r="V98" i="14"/>
  <c r="V185" i="16"/>
  <c r="Q163" i="16"/>
  <c r="Q173" i="16" s="1"/>
  <c r="Q174" i="16" s="1"/>
  <c r="Q188" i="16"/>
  <c r="W85" i="14"/>
  <c r="W96" i="14" s="1"/>
  <c r="W98" i="14" s="1"/>
  <c r="W187" i="16"/>
  <c r="W177" i="16"/>
  <c r="W178" i="16" s="1"/>
  <c r="W148" i="16"/>
  <c r="X138" i="16"/>
  <c r="R156" i="16"/>
  <c r="V155" i="16"/>
  <c r="V180" i="16"/>
  <c r="W108" i="14"/>
  <c r="AA55" i="14"/>
  <c r="K28" i="16" s="1"/>
  <c r="X106" i="14"/>
  <c r="X108" i="14" s="1"/>
  <c r="X83" i="14"/>
  <c r="X81" i="14"/>
  <c r="Z56" i="14"/>
  <c r="Z72" i="14"/>
  <c r="Z88" i="14"/>
  <c r="Z61" i="14"/>
  <c r="Z58" i="14"/>
  <c r="Z94" i="14"/>
  <c r="Y80" i="14"/>
  <c r="Y135" i="16"/>
  <c r="U108" i="22" s="1"/>
  <c r="Y90" i="14"/>
  <c r="Y169" i="16" s="1"/>
  <c r="Y78" i="14"/>
  <c r="Z135" i="16"/>
  <c r="V108" i="22" s="1"/>
  <c r="Z90" i="14"/>
  <c r="Z169" i="16" s="1"/>
  <c r="Z78" i="14"/>
  <c r="Y88" i="14"/>
  <c r="V182" i="16" l="1"/>
  <c r="V181" i="16"/>
  <c r="W185" i="16"/>
  <c r="W104" i="14"/>
  <c r="W97" i="14"/>
  <c r="X85" i="14"/>
  <c r="X96" i="14" s="1"/>
  <c r="X98" i="14" s="1"/>
  <c r="X187" i="16"/>
  <c r="X139" i="16"/>
  <c r="X148" i="16"/>
  <c r="X146" i="16"/>
  <c r="W151" i="16"/>
  <c r="X177" i="16"/>
  <c r="X178" i="16" s="1"/>
  <c r="Z138" i="16"/>
  <c r="Z177" i="16" s="1"/>
  <c r="Z178" i="16" s="1"/>
  <c r="Y138" i="16"/>
  <c r="R159" i="16"/>
  <c r="R161" i="16" s="1"/>
  <c r="R157" i="16"/>
  <c r="S154" i="16" s="1"/>
  <c r="AA56" i="14"/>
  <c r="AA72" i="14"/>
  <c r="AA61" i="14"/>
  <c r="AA58" i="14"/>
  <c r="AA77" i="14"/>
  <c r="X107" i="14"/>
  <c r="Z80" i="14"/>
  <c r="Z106" i="14" s="1"/>
  <c r="Y106" i="14"/>
  <c r="Y108" i="14" s="1"/>
  <c r="Y142" i="16"/>
  <c r="Y145" i="16" s="1"/>
  <c r="Y83" i="14"/>
  <c r="Y81" i="14"/>
  <c r="AA88" i="14" l="1"/>
  <c r="K29" i="16"/>
  <c r="X185" i="16"/>
  <c r="R163" i="16"/>
  <c r="R173" i="16" s="1"/>
  <c r="R174" i="16" s="1"/>
  <c r="R188" i="16"/>
  <c r="X104" i="14"/>
  <c r="X97" i="14"/>
  <c r="Y85" i="14"/>
  <c r="Y96" i="14" s="1"/>
  <c r="Y98" i="14" s="1"/>
  <c r="Y187" i="16"/>
  <c r="Z148" i="16"/>
  <c r="Y139" i="16"/>
  <c r="Y148" i="16"/>
  <c r="AA135" i="16"/>
  <c r="W155" i="16"/>
  <c r="W180" i="16"/>
  <c r="X151" i="16"/>
  <c r="Z139" i="16"/>
  <c r="AA90" i="14"/>
  <c r="AA169" i="16" s="1"/>
  <c r="Y177" i="16"/>
  <c r="Y178" i="16" s="1"/>
  <c r="AA78" i="14"/>
  <c r="S156" i="16"/>
  <c r="S157" i="16" s="1"/>
  <c r="T154" i="16" s="1"/>
  <c r="T156" i="16" s="1"/>
  <c r="AA94" i="14"/>
  <c r="K32" i="16" s="1"/>
  <c r="Y146" i="16"/>
  <c r="AA80" i="14"/>
  <c r="AA142" i="16" s="1"/>
  <c r="AA145" i="16" s="1"/>
  <c r="Z108" i="14"/>
  <c r="Z107" i="14"/>
  <c r="Y107" i="14"/>
  <c r="Z142" i="16"/>
  <c r="Z145" i="16" s="1"/>
  <c r="Z81" i="14"/>
  <c r="Z83" i="14"/>
  <c r="AA138" i="16" l="1"/>
  <c r="AA139" i="16" s="1"/>
  <c r="W108" i="22"/>
  <c r="W181" i="16"/>
  <c r="W182" i="16"/>
  <c r="Y185" i="16"/>
  <c r="Z185" i="16"/>
  <c r="Y97" i="14"/>
  <c r="Y104" i="14"/>
  <c r="Y151" i="16"/>
  <c r="Y155" i="16" s="1"/>
  <c r="Z85" i="14"/>
  <c r="Z96" i="14" s="1"/>
  <c r="Z97" i="14" s="1"/>
  <c r="Z187" i="16"/>
  <c r="X155" i="16"/>
  <c r="X180" i="16"/>
  <c r="T157" i="16"/>
  <c r="U154" i="16" s="1"/>
  <c r="T159" i="16"/>
  <c r="T161" i="16" s="1"/>
  <c r="S159" i="16"/>
  <c r="S161" i="16" s="1"/>
  <c r="Z146" i="16"/>
  <c r="Z151" i="16"/>
  <c r="AA83" i="14"/>
  <c r="AA81" i="14"/>
  <c r="AA106" i="14"/>
  <c r="J21" i="14" s="1"/>
  <c r="AA148" i="16" l="1"/>
  <c r="AA185" i="16" s="1"/>
  <c r="AA146" i="16"/>
  <c r="AA177" i="16"/>
  <c r="AA178" i="16" s="1"/>
  <c r="X182" i="16"/>
  <c r="X181" i="16"/>
  <c r="Y180" i="16"/>
  <c r="T163" i="16"/>
  <c r="T173" i="16" s="1"/>
  <c r="T188" i="16"/>
  <c r="S163" i="16"/>
  <c r="S173" i="16" s="1"/>
  <c r="S174" i="16" s="1"/>
  <c r="S188" i="16"/>
  <c r="Z98" i="14"/>
  <c r="Z104" i="14"/>
  <c r="AA85" i="14"/>
  <c r="AA96" i="14" s="1"/>
  <c r="O21" i="14" s="1"/>
  <c r="O24" i="14" s="1"/>
  <c r="AA187" i="16"/>
  <c r="Z155" i="16"/>
  <c r="Z180" i="16"/>
  <c r="U156" i="16"/>
  <c r="U157" i="16" s="1"/>
  <c r="V154" i="16" s="1"/>
  <c r="J24" i="14"/>
  <c r="AA107" i="14"/>
  <c r="AA108" i="14"/>
  <c r="K31" i="16" s="1"/>
  <c r="AA151" i="16" l="1"/>
  <c r="AA155" i="16" s="1"/>
  <c r="K122" i="16"/>
  <c r="K123" i="16" s="1"/>
  <c r="E122" i="16" s="1"/>
  <c r="F9" i="22" s="1"/>
  <c r="Z181" i="16"/>
  <c r="Z182" i="16"/>
  <c r="Y182" i="16"/>
  <c r="Y181" i="16"/>
  <c r="AA97" i="14"/>
  <c r="AA104" i="14"/>
  <c r="O25" i="14" s="1"/>
  <c r="O26" i="14" s="1"/>
  <c r="J35" i="16" s="1"/>
  <c r="E119" i="16" s="1"/>
  <c r="F6" i="22" s="1"/>
  <c r="J22" i="14"/>
  <c r="AA98" i="14"/>
  <c r="T174" i="16"/>
  <c r="O22" i="14"/>
  <c r="V156" i="16"/>
  <c r="V157" i="16" s="1"/>
  <c r="W154" i="16" s="1"/>
  <c r="U159" i="16"/>
  <c r="U161" i="16" s="1"/>
  <c r="AA180" i="16" l="1"/>
  <c r="AA181" i="16" s="1"/>
  <c r="D195" i="16"/>
  <c r="H40" i="16"/>
  <c r="J25" i="14"/>
  <c r="J26" i="14" s="1"/>
  <c r="U163" i="16"/>
  <c r="U173" i="16" s="1"/>
  <c r="U174" i="16" s="1"/>
  <c r="U188" i="16"/>
  <c r="W156" i="16"/>
  <c r="W157" i="16" s="1"/>
  <c r="X154" i="16" s="1"/>
  <c r="V159" i="16"/>
  <c r="V161" i="16" s="1"/>
  <c r="AA182" i="16" l="1"/>
  <c r="V163" i="16"/>
  <c r="V173" i="16" s="1"/>
  <c r="V174" i="16" s="1"/>
  <c r="V188" i="16"/>
  <c r="X156" i="16"/>
  <c r="X157" i="16" s="1"/>
  <c r="Y154" i="16" s="1"/>
  <c r="W159" i="16"/>
  <c r="W161" i="16" s="1"/>
  <c r="W163" i="16" l="1"/>
  <c r="W173" i="16" s="1"/>
  <c r="W174" i="16" s="1"/>
  <c r="W188" i="16"/>
  <c r="Y156" i="16"/>
  <c r="Y157" i="16" s="1"/>
  <c r="Z154" i="16" s="1"/>
  <c r="Z156" i="16" s="1"/>
  <c r="X159" i="16"/>
  <c r="X161" i="16" s="1"/>
  <c r="X163" i="16" l="1"/>
  <c r="X173" i="16" s="1"/>
  <c r="X174" i="16" s="1"/>
  <c r="X188" i="16"/>
  <c r="Z157" i="16"/>
  <c r="AA154" i="16" s="1"/>
  <c r="AA156" i="16" s="1"/>
  <c r="Z159" i="16"/>
  <c r="Z161" i="16" s="1"/>
  <c r="Y159" i="16"/>
  <c r="Y161" i="16" s="1"/>
  <c r="Y163" i="16" l="1"/>
  <c r="Y173" i="16" s="1"/>
  <c r="Y174" i="16" s="1"/>
  <c r="Y188" i="16"/>
  <c r="Z163" i="16"/>
  <c r="Z173" i="16" s="1"/>
  <c r="Z188" i="16"/>
  <c r="AA157" i="16"/>
  <c r="AA159" i="16"/>
  <c r="AA161" i="16" s="1"/>
  <c r="Z174" i="16" l="1"/>
  <c r="AA163" i="16"/>
  <c r="AA173" i="16" s="1"/>
  <c r="AA174" i="16" s="1"/>
  <c r="AA188" i="16"/>
  <c r="K125" i="16" s="1"/>
  <c r="K126" i="16" s="1"/>
  <c r="E123" i="16" s="1"/>
  <c r="F20" i="22" s="1"/>
  <c r="F24" i="22" l="1"/>
  <c r="F23" i="22"/>
  <c r="F22" i="22"/>
  <c r="E124" i="16"/>
  <c r="E129" i="16" s="1"/>
  <c r="F10" i="22"/>
  <c r="D244" i="16" l="1"/>
  <c r="D256" i="16"/>
  <c r="D250" i="16"/>
  <c r="D232" i="16"/>
  <c r="D238" i="16"/>
  <c r="D226" i="16"/>
  <c r="M44" i="22"/>
  <c r="K44" i="22"/>
  <c r="I44" i="22"/>
  <c r="L44" i="22"/>
  <c r="J44" i="22"/>
  <c r="F12" i="2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BIWS</author>
  </authors>
  <commentList>
    <comment ref="K7" authorId="0" shapeId="0" xr:uid="{697CBA7E-0DB0-4DC1-8C49-5640E81596FF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NOL balance at end of FY 25; not counting the Q1 Pre-Tax Loss since the projections use full-year FY 26 numbers.</t>
        </r>
      </text>
    </comment>
    <comment ref="K10" authorId="0" shapeId="0" xr:uid="{A84FD112-1762-4907-9946-6541E9D53D42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S-1 pg. F-35.</t>
        </r>
      </text>
    </comment>
    <comment ref="K11" authorId="0" shapeId="0" xr:uid="{6AD9A747-AA9B-4886-AEC4-5BB20912B0E4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S-1 pg. F-35.</t>
        </r>
      </text>
    </comment>
    <comment ref="K13" authorId="0" shapeId="0" xr:uid="{B97D37D0-8428-48F0-BA02-843043F7448E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Nothing stated directly in the filings, but it's reasonable to assume there will be a small amount as the company grows and diversifies.</t>
        </r>
      </text>
    </comment>
    <comment ref="E15" authorId="0" shapeId="0" xr:uid="{616C0106-2977-415E-8D47-15DDE6D80CEF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Federal rate of 21%, plus state and local taxes.</t>
        </r>
      </text>
    </comment>
    <comment ref="E19" authorId="0" shapeId="0" xr:uid="{4795CEDD-D93E-4F7C-A6F2-BE1975DE00E7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Based on high-growth telecoms in EMs.</t>
        </r>
      </text>
    </comment>
    <comment ref="E21" authorId="0" shapeId="0" xr:uid="{B40E4F83-1A73-4B72-B178-D69564FCBD8C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Based on mature, large-cap telecoms mostly in DMs.</t>
        </r>
      </text>
    </comment>
    <comment ref="E33" authorId="0" shapeId="0" xr:uid="{A5B0AEE8-7548-4242-BADD-71D58BEBDEF4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https://unctadstat.unctad.org/datacentre/dataviewer/US.MerchantFleet
https://www.oliverwyman.com/our-expertise/insights/2026/feb/global-fleet-and-mro-market-forecast-2026-2036.html</t>
        </r>
      </text>
    </comment>
    <comment ref="E53" authorId="0" shapeId="0" xr:uid="{86E82C56-DE92-4151-8618-12DBC6EC7D78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Based on GPU-first neoclouds.</t>
        </r>
      </text>
    </comment>
    <comment ref="E55" authorId="0" shapeId="0" xr:uid="{50022BF2-93C8-4610-A8C0-8B6ED007A621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Closer to mature tech companies; no true "public AI" benchmarks currently.</t>
        </r>
      </text>
    </comment>
    <comment ref="J60" authorId="0" shapeId="0" xr:uid="{467DDBE9-CF28-43EC-9F7E-C4895F553090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Initial rate for Anthropic deal - assumed 500 MW rented out at $1.25B per month.</t>
        </r>
      </text>
    </comment>
    <comment ref="K60" authorId="0" shapeId="0" xr:uid="{AB69736D-B022-4D16-B298-8D952A2A0B37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Very modest increase because current rates are already far above market norms.</t>
        </r>
      </text>
    </comment>
    <comment ref="E68" authorId="0" shapeId="0" xr:uid="{7A09B0CC-D6D6-41A5-8730-DFA87B6206CA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Assumed to take effect starting in FY 30, after initial term of Anthropic deal.</t>
        </r>
      </text>
    </comment>
    <comment ref="E79" authorId="0" shapeId="0" xr:uid="{4172013B-6120-4D6F-908C-2FC1426D7C90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Close to Q1 GM from S-1.</t>
        </r>
      </text>
    </comment>
    <comment ref="E82" authorId="0" shapeId="0" xr:uid="{C0929DE9-D099-48F5-9446-EDCE2FE060E4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Roughly the run-rate OpEx based on the Q1 numbers, so assuming no additional OpEx corresponding to the Anthropic deal.</t>
        </r>
      </text>
    </comment>
    <comment ref="E83" authorId="0" shapeId="0" xr:uid="{296881B2-7448-4BD2-A093-9A469FD8830D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In the Base Case, implies positive EBIT by FY 30.</t>
        </r>
      </text>
    </comment>
    <comment ref="K94" authorId="0" shapeId="0" xr:uid="{AB7A0481-6CA1-4ED3-A9EE-6D6256B6D64C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Not forecast explicitly in model.</t>
        </r>
      </text>
    </comment>
    <comment ref="K120" authorId="0" shapeId="0" xr:uid="{356214D9-8F45-4DE7-8AA4-64EBEC02A801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Lower than Terminal UFCF Growth in segment forecasts since these are corporate-level items/expenses.</t>
        </r>
      </text>
    </comment>
    <comment ref="E125" authorId="0" shapeId="0" xr:uid="{87CAB7AB-2E72-4513-A8A9-0E0934B19ACA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Assuming this is $0 due to the time frame and because the tax differential is already factored in above; if NOLs somehow remain after 20 years, they should mostly be captured by that.</t>
        </r>
      </text>
    </comment>
    <comment ref="E127" authorId="0" shapeId="0" xr:uid="{AB3F82D4-CAA7-48B4-9656-9EBB89774E07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Only counting Fair Value of Debt since the Finance Lease Expense is deducted directly in the UFCF build.</t>
        </r>
      </text>
    </comment>
    <comment ref="H167" authorId="0" shapeId="0" xr:uid="{E651220C-D416-4AFC-80E9-AEF8968A2FF9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the S-1 pg. F-35; appears to end in FY 28.</t>
        </r>
      </text>
    </comment>
    <comment ref="I167" authorId="0" shapeId="0" xr:uid="{4374B843-2A9F-4FA9-9200-B8919C183819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the S-1 pg. F-35; appears to end in FY 28.</t>
        </r>
      </text>
    </comment>
    <comment ref="J167" authorId="0" shapeId="0" xr:uid="{B475CBBA-1998-4259-BAF3-017056E7047A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the S-1 pg. F-35; appears to end in FY 28.</t>
        </r>
      </text>
    </comment>
    <comment ref="K167" authorId="0" shapeId="0" xr:uid="{6B7EB1DE-8AB6-4CC8-A422-E7512DD5CAA0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the S-1 pg. F-35; appears to end in FY 28.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BIWS</author>
  </authors>
  <commentList>
    <comment ref="O11" authorId="0" shapeId="0" xr:uid="{46C34207-B1A5-4730-A9EC-0EC15D515E86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Assuming slightly higher rate due to EM focus.</t>
        </r>
      </text>
    </comment>
    <comment ref="E31" authorId="0" shapeId="0" xr:uid="{2501C84C-0400-46A2-9640-748C2987D54E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internet user and rural vs. urban estimates here:
https://www.itu.int/en/mediacentre/Pages/PR-2025-11-17-Facts-and-Figures.aspx</t>
        </r>
      </text>
    </comment>
    <comment ref="H32" authorId="0" shapeId="0" xr:uid="{934438E4-5D1A-4F43-886D-454F7B3D2055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EMs push this up.</t>
        </r>
      </text>
    </comment>
    <comment ref="G44" authorId="0" shapeId="0" xr:uid="{1DD44259-BC1D-4E84-9688-CCCA74C9EAE7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https://unctadstat.unctad.org/datacentre/dataviewer/US.MerchantFleet
https://www.oliverwyman.com/our-expertise/insights/2026/feb/global-fleet-and-mro-market-forecast-2026-2036.html</t>
        </r>
      </text>
    </comment>
    <comment ref="E45" authorId="0" shapeId="0" xr:uid="{5D17EF25-8691-40C3-A3E0-E8C275B7BB89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Based on previous Oliver Wyman estimates.</t>
        </r>
      </text>
    </comment>
    <comment ref="G47" authorId="0" shapeId="0" xr:uid="{3F58A742-15AA-4ABA-8934-FE8ADB704698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https://starlink.com/business/aviation
https://valourconsultancy.com/starlink-unlimited-maritime-strategy-opportunism-and-market-reality/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BIWS</author>
  </authors>
  <commentList>
    <comment ref="O11" authorId="0" shapeId="0" xr:uid="{1E6C9DCD-241D-4DEC-9187-52760EE75C01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Exact rate is unclear; AI division is likely DM-focused, but certain EMs could boost long-term growth.</t>
        </r>
      </text>
    </comment>
    <comment ref="E31" authorId="0" shapeId="0" xr:uid="{5CE878A7-AE4B-4004-B0B5-5D6E52D044C2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https://epoch.ai/data-insights/ai-datacenter-power</t>
        </r>
      </text>
    </comment>
    <comment ref="F31" authorId="0" shapeId="0" xr:uid="{425D6866-9176-4433-AD6B-8A58C80F85FF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https://epoch.ai/data-insights/ai-datacenter-power</t>
        </r>
      </text>
    </comment>
    <comment ref="G31" authorId="0" shapeId="0" xr:uid="{6B3EDC7F-1D70-4753-9868-593379AAD906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https://epoch.ai/data-insights/ai-datacenter-power</t>
        </r>
      </text>
    </comment>
    <comment ref="E32" authorId="0" shapeId="0" xr:uid="{301B30AA-6F2E-4D38-B4B8-0183D322DDA1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https://epoch.ai/data-insights/ai-datacenter-power</t>
        </r>
      </text>
    </comment>
    <comment ref="H39" authorId="0" shapeId="0" xr:uid="{6E986A2A-775F-466D-9E1A-43B4E01FB956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Backed into based on an assumption of 500 MW for initial Anthropic deal.</t>
        </r>
      </text>
    </comment>
    <comment ref="H44" authorId="0" shapeId="0" xr:uid="{D92F9A9C-E6B4-42E9-BE9C-7C0DD77BFD6D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Q1 implies $39M / MW based on 200 MW of additional Compute at $7.7B of CapEx. $7.7B * 4 = $30.8B for the year.</t>
        </r>
      </text>
    </comment>
    <comment ref="H54" authorId="0" shapeId="0" xr:uid="{4737A1D6-F406-4CAF-BC36-91DD4DE0967A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Backed into this number based on $1.25B per month * 8 months remaining when deal was signed, divided by an assumed rented Capacity of 500 MW.</t>
        </r>
      </text>
    </comment>
    <comment ref="I55" authorId="0" shapeId="0" xr:uid="{27067D57-5841-4B1D-8932-CD0A9B2A880E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This is an artifact of the deal timing and isn't necessarily representative; far above market norms.</t>
        </r>
      </text>
    </comment>
    <comment ref="E57" authorId="0" shapeId="0" xr:uid="{C7BDB577-433B-4BB8-B31C-370C0FF3E75E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Composite of online sources.</t>
        </r>
      </text>
    </comment>
    <comment ref="F57" authorId="0" shapeId="0" xr:uid="{0466CF88-883B-49D5-9164-9AFE0255F617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Composite of online sources.</t>
        </r>
      </text>
    </comment>
    <comment ref="G57" authorId="0" shapeId="0" xr:uid="{91F6EA0C-A61F-47E2-91E5-101BF1D181C6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the S-1.</t>
        </r>
      </text>
    </comment>
    <comment ref="E58" authorId="0" shapeId="0" xr:uid="{3E008388-1A5C-4EDB-B9FD-EF95B2ED7ED6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Rough estimate from online sources based on 370M.</t>
        </r>
      </text>
    </comment>
    <comment ref="E60" authorId="0" shapeId="0" xr:uid="{C317BE82-0FE5-4582-8BEC-51D7C9E72286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Rough estimate from online sources based on 370M.</t>
        </r>
      </text>
    </comment>
    <comment ref="H70" authorId="0" shapeId="0" xr:uid="{333335BE-95B0-46D5-A552-2060814DE828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Close to Q1 GM from S-1.</t>
        </r>
      </text>
    </comment>
    <comment ref="H72" authorId="0" shapeId="0" xr:uid="{ABF9082B-927D-41A2-8DD0-9969BA0EB191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Roughly the run-rate OpEx based on the Q1 numbers, so assuming no additional OpEx corresponding to the Anthropic deal.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BIWS</author>
  </authors>
  <commentList>
    <comment ref="O11" authorId="0" shapeId="0" xr:uid="{02B117AF-E673-4335-8427-8D1E3D919CE7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Lower numbers since the market is mostly the U.S.</t>
        </r>
      </text>
    </comment>
    <comment ref="E31" authorId="0" shapeId="0" xr:uid="{C795486E-4194-4AD2-8AC6-10C4EE9CD8A9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the list here - excluding Starlink and Starship missions:
https://www.spacex.com/launches</t>
        </r>
      </text>
    </comment>
    <comment ref="F31" authorId="0" shapeId="0" xr:uid="{2F48D11D-36BF-405C-8C84-5752B43B0F64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the list here - excluding Starlink and Starship missions:
https://www.spacex.com/launches</t>
        </r>
      </text>
    </comment>
    <comment ref="G31" authorId="0" shapeId="0" xr:uid="{D5279043-0571-43C4-B04C-B0F64C1763CD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the list here - excluding Starlink and Starship missions:
https://www.spacex.com/launches</t>
        </r>
      </text>
    </comment>
    <comment ref="E32" authorId="0" shapeId="0" xr:uid="{2A562AF3-6FFB-4002-826D-0AF020BC8A1C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the list here - excluding Starlink and Starship missions:
https://www.spacex.com/launches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BIWS</author>
  </authors>
  <commentList>
    <comment ref="N14" authorId="0" shapeId="0" xr:uid="{AB4ABFC6-068D-4769-BE58-CEBA368EBD7D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10-K.</t>
        </r>
      </text>
    </comment>
    <comment ref="O14" authorId="0" shapeId="0" xr:uid="{32C5CFF0-A9EA-4C4E-9479-F539E25F1C92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10-K.</t>
        </r>
      </text>
    </comment>
    <comment ref="D22" authorId="0" shapeId="0" xr:uid="{1DE4667A-36F6-494D-B668-4FD01CF85338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Adjusting to well above reported 5-year levels due to artifacts of indexing against Indian stock market.</t>
        </r>
      </text>
    </comment>
    <comment ref="K22" authorId="0" shapeId="0" xr:uid="{0311D856-84F2-492C-AD37-3557237F024E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Using standard corporate rate for large companies in India.</t>
        </r>
      </text>
    </comment>
    <comment ref="N22" authorId="0" shapeId="0" xr:uid="{3F53429C-12C7-4E32-88C0-786CB4C39485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annual report. 245 INR.</t>
        </r>
      </text>
    </comment>
    <comment ref="O22" authorId="0" shapeId="0" xr:uid="{702FEE0D-CF01-40CD-8508-AB8C3511040D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annual report.</t>
        </r>
      </text>
    </comment>
    <comment ref="K23" authorId="0" shapeId="0" xr:uid="{A476991F-15B2-400F-B79B-77BF0CF9E516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Standard rate in SA.</t>
        </r>
      </text>
    </comment>
    <comment ref="N23" authorId="0" shapeId="0" xr:uid="{75135E82-04AC-4064-9A51-10BA88C92010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Manual calculation based on annual average subscribers and LTM revenue.</t>
        </r>
      </text>
    </comment>
    <comment ref="O23" authorId="0" shapeId="0" xr:uid="{07980B4A-BC69-4B79-A52D-775919207AE1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https://www.mtn.com/investors/</t>
        </r>
      </text>
    </comment>
    <comment ref="K24" authorId="0" shapeId="0" xr:uid="{E5F12D7A-A7B2-49EB-AE75-CF0E04E77157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Standard rate in SA.</t>
        </r>
      </text>
    </comment>
    <comment ref="N24" authorId="0" shapeId="0" xr:uid="{841CA231-E84F-46A1-858C-CDF32F8E1700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Manual calculation based on annual average subscribers and LTM revenue.</t>
        </r>
      </text>
    </comment>
    <comment ref="D25" authorId="0" shapeId="0" xr:uid="{BC8FBB4F-BFDA-4851-B062-D27569EE41EF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Adjusting Beta to higher figures based on 1-year and similar estimates from the comps.</t>
        </r>
      </text>
    </comment>
    <comment ref="K25" authorId="0" shapeId="0" xr:uid="{809EAB89-EEEE-447B-9206-7ECA70702F15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Using standard corporate rate for large companies in India.</t>
        </r>
      </text>
    </comment>
    <comment ref="N25" authorId="0" shapeId="0" xr:uid="{D28584BB-2296-45D4-9F43-CA2E1D85D2BA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investor presentation. 186 INR.</t>
        </r>
      </text>
    </comment>
    <comment ref="O25" authorId="0" shapeId="0" xr:uid="{0BCC76C6-9BA9-45E0-82D0-7ED125D03CF0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https://www.myvi.in/about-us/home</t>
        </r>
      </text>
    </comment>
    <comment ref="K26" authorId="0" shapeId="0" xr:uid="{1C2341B7-5F27-4286-85AA-446A50C7F516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UAE statutory rate. Relocated to Dubai.</t>
        </r>
      </text>
    </comment>
    <comment ref="N26" authorId="0" shapeId="0" xr:uid="{03E37989-8B5F-4F88-97FA-6CE36C2F05B5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Manual calculation based on annual average subscribers and LTM revenue.</t>
        </r>
      </text>
    </comment>
    <comment ref="O26" authorId="0" shapeId="0" xr:uid="{9DA277EE-48EB-4254-9CBA-B0BEFC44D0C3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https://www.veon.com/we-are-veon</t>
        </r>
      </text>
    </comment>
    <comment ref="D27" authorId="0" shapeId="0" xr:uid="{920B151F-DE95-4B3C-92B4-28EAC839AF87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Extremely low volatility due to GCC base.</t>
        </r>
      </text>
    </comment>
    <comment ref="K27" authorId="0" shapeId="0" xr:uid="{BDE49865-8ECC-4C87-B6DC-A467C9EE1252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Standard corporate tax rate in Kuwait.</t>
        </r>
      </text>
    </comment>
    <comment ref="N27" authorId="0" shapeId="0" xr:uid="{B4F193E3-CB6F-45E8-A84E-7C04D6C70A3C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Manual calculation based on annual average subscribers and LTM revenue.</t>
        </r>
      </text>
    </comment>
    <comment ref="O27" authorId="0" shapeId="0" xr:uid="{A7A84116-22D4-40BD-91ED-737C68FC08C8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https://www.zain.com/en/investor-relations</t>
        </r>
      </text>
    </comment>
    <comment ref="K28" authorId="0" shapeId="0" xr:uid="{7BF0846B-41D3-4ED8-B5B6-0A43D30991F6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Standard corporate tax rate in Kenya.</t>
        </r>
      </text>
    </comment>
    <comment ref="N28" authorId="0" shapeId="0" xr:uid="{D5D20706-349C-43E5-8858-74E9ACACBB5D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Manual calculation based on annual average subscribers and LTM revenue; Capital IQ-sourced sub #s.</t>
        </r>
      </text>
    </comment>
    <comment ref="O28" authorId="0" shapeId="0" xr:uid="{E85F6427-C373-41C2-9BC9-D46B72F80B92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Press release.</t>
        </r>
      </text>
    </comment>
    <comment ref="D29" authorId="0" shapeId="0" xr:uid="{96217D28-F5FF-4CE7-9D5E-0CA7D0628813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Public sources greatly understate; adjusting up to 1-year calc.</t>
        </r>
      </text>
    </comment>
    <comment ref="K29" authorId="0" shapeId="0" xr:uid="{F2EF3B29-3250-46DB-8CC9-86C6CA440D8C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Standard corporate tax rate in Indonesia.</t>
        </r>
      </text>
    </comment>
    <comment ref="N29" authorId="0" shapeId="0" xr:uid="{9B1FA7B3-AB8F-46E3-8154-02D4187EC061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2025 annual report. Rp 39,500 converted to USD.</t>
        </r>
      </text>
    </comment>
    <comment ref="O29" authorId="0" shapeId="0" xr:uid="{2CD1740E-618D-4D3A-A8B9-50960800CD2A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2025 annual report.</t>
        </r>
      </text>
    </comment>
    <comment ref="K36" authorId="0" shapeId="0" xr:uid="{4024197F-72ED-46B6-A794-EC141C066BC8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Mexico federal rate.</t>
        </r>
      </text>
    </comment>
    <comment ref="N36" authorId="0" shapeId="0" xr:uid="{3FFCEC2E-743C-4E98-9F5E-11D916A77BFA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Manual calculation based on annual average subscribers and LTM revenue.</t>
        </r>
      </text>
    </comment>
    <comment ref="O36" authorId="0" shapeId="0" xr:uid="{42F28076-FE52-4C39-893F-33A69CB4F92D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Q1 report.</t>
        </r>
      </text>
    </comment>
    <comment ref="K37" authorId="0" shapeId="0" xr:uid="{C0011B63-3C16-44FE-9E8B-3A4A4C791CE6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China corporate tax rate.</t>
        </r>
      </text>
    </comment>
    <comment ref="N37" authorId="0" shapeId="0" xr:uid="{F8AF1889-0D8E-4784-A5F0-ACD7062364C7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Manual calculation based on annual average subscribers and LTM revenue.</t>
        </r>
      </text>
    </comment>
    <comment ref="O37" authorId="0" shapeId="0" xr:uid="{2433587E-B0A7-4350-94AC-504496E612CC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FY 25 report.</t>
        </r>
      </text>
    </comment>
    <comment ref="K38" authorId="0" shapeId="0" xr:uid="{270F45B2-3439-4A22-B206-A83D4F6EBB93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U.S. effective corporate tax rate.</t>
        </r>
      </text>
    </comment>
    <comment ref="N38" authorId="0" shapeId="0" xr:uid="{111E5911-8BCE-44F9-93BA-7884168DB90C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Off from officially stated numbers due to prepaids vs. postpaids.</t>
        </r>
      </text>
    </comment>
    <comment ref="O38" authorId="0" shapeId="0" xr:uid="{C5305936-A8A7-48C2-B7CB-9FA08E4C4943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FY 25 report.</t>
        </r>
      </text>
    </comment>
    <comment ref="K39" authorId="0" shapeId="0" xr:uid="{C918D2A9-0A9A-44C0-9BFB-21EB58E015C5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China corporate tax rate.</t>
        </r>
      </text>
    </comment>
    <comment ref="N39" authorId="0" shapeId="0" xr:uid="{C69557D6-7351-4A5D-A114-9EC46658E20F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Rough estimate based on annual mobile + fixed-line subscribers.</t>
        </r>
      </text>
    </comment>
    <comment ref="O39" authorId="0" shapeId="0" xr:uid="{3DE3D6BC-A967-45FE-8EE6-4583625FC1B8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Mobile plus fixed-line.</t>
        </r>
      </text>
    </comment>
    <comment ref="D40" authorId="0" shapeId="0" xr:uid="{04B89292-9BDF-4B70-B9A4-A7A7C14DE560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Adjusting up based on historical trend.</t>
        </r>
      </text>
    </comment>
    <comment ref="K40" authorId="0" shapeId="0" xr:uid="{25170C56-A32D-40A4-83C6-7609A3DE04D9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U.S. effective corporate tax rate.</t>
        </r>
      </text>
    </comment>
    <comment ref="N40" authorId="0" shapeId="0" xr:uid="{E49D62DD-00A4-44FB-8CE5-AB4685EB8A54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Rough estimate based on annual mobile + fixed-line subscribers.</t>
        </r>
      </text>
    </comment>
    <comment ref="O40" authorId="0" shapeId="0" xr:uid="{5836B9FB-D611-4389-805C-B1BAEF9C52A9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Mobile + fixed-line internet.</t>
        </r>
      </text>
    </comment>
    <comment ref="D41" authorId="0" shapeId="0" xr:uid="{9388A8F3-AEAC-460D-ADE0-BADF5D2FA5AB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Unclear due to the ownership structure and SoftBank parent.</t>
        </r>
      </text>
    </comment>
    <comment ref="K41" authorId="0" shapeId="0" xr:uid="{99D79125-D7F3-41BA-ABF2-F6C4156C0C1E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Japan corporate tax rate.</t>
        </r>
      </text>
    </comment>
    <comment ref="N41" authorId="0" shapeId="0" xr:uid="{42AAFE01-21B7-4091-B62B-AD68FB77DF4C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the mobile ARPU here:
https://www.softbank.jp/en/corp/ir/financials/kpi/</t>
        </r>
      </text>
    </comment>
    <comment ref="O41" authorId="0" shapeId="0" xr:uid="{19C3C483-7BEC-43A1-9902-D8AABF4E14A6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https://www.softbank.jp/en/corp/ir/financials/kpi/</t>
        </r>
      </text>
    </comment>
    <comment ref="K42" authorId="0" shapeId="0" xr:uid="{ECF35E1B-EFBA-463B-9979-8129CA56ABA4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U.K. effective corporate tax rate.</t>
        </r>
      </text>
    </comment>
    <comment ref="N42" authorId="0" shapeId="0" xr:uid="{86ADE58D-65D4-415F-B1A5-A40D1C6D8E0D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Very rough estimate based on simple division; limited subscriber counts disclosed.</t>
        </r>
      </text>
    </comment>
    <comment ref="O42" authorId="0" shapeId="0" xr:uid="{41AE329F-56C9-45EE-B220-8E6D331F46BB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https://www.vodafone.com/our-company/vodafone-at-a-glance?section=where-we-operate-map</t>
        </r>
      </text>
    </comment>
    <comment ref="D43" authorId="0" shapeId="0" xr:uid="{241FD083-6B47-45CD-9528-6D5BD8922F14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Not using negative Beta from public sources.</t>
        </r>
      </text>
    </comment>
    <comment ref="K43" authorId="0" shapeId="0" xr:uid="{BB82C37C-A333-4DF5-9030-34B81CFB3F7E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Japan corporate tax rate.</t>
        </r>
      </text>
    </comment>
    <comment ref="N43" authorId="0" shapeId="0" xr:uid="{92CC6968-9FC4-4EFA-8B25-524BD7DFEE45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the investor presentation. 4,550 JPY.</t>
        </r>
      </text>
    </comment>
    <comment ref="O43" authorId="0" shapeId="0" xr:uid="{F946A730-E750-4344-BAFC-38EDECAFAB56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investor presentation.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BIWS</author>
  </authors>
  <commentList>
    <comment ref="K8" authorId="0" shapeId="0" xr:uid="{6972B4CA-3C94-4E4B-859B-25D8F144F46A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Standard U.S. effective tax rate.</t>
        </r>
      </text>
    </comment>
    <comment ref="O8" authorId="0" shapeId="0" xr:uid="{620820A5-117B-498B-BB9A-86DC646900E4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10-K.</t>
        </r>
      </text>
    </comment>
    <comment ref="Q8" authorId="0" shapeId="0" xr:uid="{86DB8E82-6E99-4398-B677-E0A9C1DC7C04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Based on FY 25 numbers.</t>
        </r>
      </text>
    </comment>
    <comment ref="K9" authorId="0" shapeId="0" xr:uid="{9ECAD7C3-7CC9-4B08-9B81-27547BC7D32E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Standard corporate rate in NL.</t>
        </r>
      </text>
    </comment>
    <comment ref="O9" authorId="0" shapeId="0" xr:uid="{9EF5C7B3-1C98-4CAD-A8A1-C257C87862DE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Based on 2026 CapEx guidance of $16-25B and 800MW - 1GW in planned additions.</t>
        </r>
      </text>
    </comment>
    <comment ref="Q9" authorId="0" shapeId="0" xr:uid="{86E12A99-05AD-4817-8D34-5899ED0D9B9E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Rough estimate based on Q1 filings.</t>
        </r>
      </text>
    </comment>
    <comment ref="K16" authorId="0" shapeId="0" xr:uid="{D47F005B-B21B-4FC5-BD9B-B8EB0502D152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Standard U.S. effective tax rate.</t>
        </r>
      </text>
    </comment>
    <comment ref="N16" authorId="0" shapeId="0" xr:uid="{EB25992A-B415-47A1-8C83-0DA4BE666E91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investor presentation for FY 25.</t>
        </r>
      </text>
    </comment>
    <comment ref="O16" authorId="0" shapeId="0" xr:uid="{B428DE59-00D5-4761-ABB8-EEF575668CF2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10-K, claimed "build-out cost" is $8-10M per MW. DOES NOT INCLUDE GPUs.</t>
        </r>
      </text>
    </comment>
    <comment ref="Q16" authorId="0" shapeId="0" xr:uid="{BE8F7766-24B0-462C-8D5B-0725F2289BDA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Very rough estimate based on FY 24 and 25 data in presentation.</t>
        </r>
      </text>
    </comment>
    <comment ref="K17" authorId="0" shapeId="0" xr:uid="{C674E1E9-5BD5-4E29-A830-BA94EDEDD09D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Standard U.S. effective tax rate.</t>
        </r>
      </text>
    </comment>
    <comment ref="N17" authorId="0" shapeId="0" xr:uid="{B52B444C-151C-409D-AFB2-D71065A6BCA9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VERY rough estimate based on the 810 MW disclosed in the 10-K and the typical "GPU to MW" conversion factors.
https://www.sec.gov/Archives/edgar/data/1878848/000187884825000063/iren-20250630.htm</t>
        </r>
      </text>
    </comment>
    <comment ref="O17" authorId="0" shapeId="0" xr:uid="{9AFC3A29-F3EC-41C3-9FE8-48BF9A7DDE8E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Estimate from MSFT press release:
https://iren.gcs-web.com/static-files/a421bb34-0156-4687-be7d-19f53a5236e5
DOES NOT INCLUDE GPUs.</t>
        </r>
      </text>
    </comment>
    <comment ref="K18" authorId="0" shapeId="0" xr:uid="{B1955EC3-E57A-4B29-9366-32A8A90137EE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Standard U.S. effective tax rate.</t>
        </r>
      </text>
    </comment>
    <comment ref="N18" authorId="0" shapeId="0" xr:uid="{6B739869-E17B-4A37-84A9-7C1DE9C789C1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"Critical IT Load" from the investor presentation. Polaris Forge 1 building.</t>
        </r>
      </text>
    </comment>
    <comment ref="O18" authorId="0" shapeId="0" xr:uid="{75DD884D-B5E0-4F04-A7AA-638E4BE86B55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Investor presentation states $11-13M per MW for new build CapEx.
https://ir.applieddigital.com/_assets/_49a888b24314f2dd2f9ffc47a8ef28b3/appliedblockchaininc/db/2905/27266/pdf/APLD_INV_InvestorPresentation_Final_04.24.26.pdf
DOES NOT INCLUDE GPUs.</t>
        </r>
      </text>
    </comment>
    <comment ref="K19" authorId="0" shapeId="0" xr:uid="{4EB61135-5451-4EB9-871C-DC6406F3E9D9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Standard U.S. effective tax rate.</t>
        </r>
      </text>
    </comment>
    <comment ref="N19" authorId="0" shapeId="0" xr:uid="{D60941EC-5156-4911-A22E-0B602144BE3C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investor presentation as of Q1:
https://d1io3yog0oux5.cloudfront.net/_ad2695297a41d3bc93e044e1f98ed1ea/terawulf/db/2396/23490/pdf/TeraWulf+Q1+2026+Investor+Presentation+%28May+2026%29.pdf</t>
        </r>
      </text>
    </comment>
    <comment ref="O19" authorId="0" shapeId="0" xr:uid="{17511DD9-07FD-4EF0-B67C-DAAB12D11A79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Range of $8-10M / MW given in presentation:
https://d1io3yog0oux5.cloudfront.net/_566c3c88fc927ebef0698674ef867646/terawulf/db/2265/21666/pdf/TeraWulf+Q1+2026+Investor+Presentation+(May+2026).pdf
DOES NOT INCLUDE GPUs.</t>
        </r>
      </text>
    </comment>
    <comment ref="Q19" authorId="0" shapeId="0" xr:uid="{F645CCF3-1D9C-446E-9C6F-2F7BEAA90471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Very rough estimate based on the HPC Lease Revenue from Q1.
https://investors.terawulf.com/news-events/press-releases/detail/140/terawulf-reports-first-quarter-2026-results</t>
        </r>
      </text>
    </comment>
    <comment ref="K20" authorId="0" shapeId="0" xr:uid="{721C1873-8BC9-450B-8204-D2269856FF0C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Standard U.S. effective tax rate.</t>
        </r>
      </text>
    </comment>
    <comment ref="N20" authorId="0" shapeId="0" xr:uid="{D4BEE226-C1C2-42F5-8031-98531BE9F2E7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No "Active Capacity" or "Active Compute" or similar Critical IT Capacity or related metrics disclosed.</t>
        </r>
      </text>
    </comment>
    <comment ref="O20" authorId="0" shapeId="0" xr:uid="{7BAC8C91-4B52-4F45-B1D6-229A0B64C010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Based on $8-11M / MW range quoted in presentations.</t>
        </r>
      </text>
    </comment>
    <comment ref="Q20" authorId="0" shapeId="0" xr:uid="{44AB113B-C01A-43CE-B728-516514E2B723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Based on 700 MW Contracted Capacity and $787M expected average NOI in investor presentation:
https://investors.cipherdigital.com/static-files/d9b02ae0-773b-4024-833f-03f629a406f6</t>
        </r>
      </text>
    </comment>
    <comment ref="D27" authorId="0" shapeId="0" xr:uid="{F931D614-B007-40C6-BD02-D3BC811293F2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Historically, higher than CapIQ/Yahoo quoted figure of 1.05.</t>
        </r>
      </text>
    </comment>
    <comment ref="K27" authorId="0" shapeId="0" xr:uid="{D9D96919-F937-4707-B2B5-9A690FCE9DE2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Standard U.S. effective tax rate.</t>
        </r>
      </text>
    </comment>
    <comment ref="N27" authorId="0" shapeId="0" xr:uid="{409079B3-D1BD-4ABA-B3B3-1F13C744D5C2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Q1 10-Q.</t>
        </r>
      </text>
    </comment>
    <comment ref="O27" authorId="0" shapeId="0" xr:uid="{BBBD9B75-A5E8-49A9-9DEF-95F048B1AC49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As of the end of FY 25:
https://investor.snap.com/news/news-details/2026/Snap-Inc--Announces-Fourth-Quarter-and-Full-Year-2025-Financial-Results/default.aspx</t>
        </r>
      </text>
    </comment>
    <comment ref="D28" authorId="0" shapeId="0" xr:uid="{806B3F18-7A3F-483D-80E4-A9B49FE483A0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Historically, higher than CapIQ/Yahoo quoted figure of 0.92.</t>
        </r>
      </text>
    </comment>
    <comment ref="K28" authorId="0" shapeId="0" xr:uid="{29332D26-5D39-411C-A98B-E4FCA5EBE7D5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Standard U.S. effective tax rate.</t>
        </r>
      </text>
    </comment>
    <comment ref="N28" authorId="0" shapeId="0" xr:uid="{7AAFBA4E-07F6-4F38-9E70-36D607203F57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Q1 earnings:
https://s204.q4cdn.com/369458543/files/doc_earnings/2026/q1/presentation/2026-Q1-IR-Earnings-Presentation.pdf</t>
        </r>
      </text>
    </comment>
    <comment ref="O28" authorId="0" shapeId="0" xr:uid="{9D9387B5-07C0-4644-833F-BC5FA13BDE04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Q1 earnings:
https://s204.q4cdn.com/369458543/files/doc_earnings/2026/q1/presentation/2026-Q1-IR-Earnings-Presentation.pdf</t>
        </r>
      </text>
    </comment>
    <comment ref="D29" authorId="0" shapeId="0" xr:uid="{A659F454-5BBF-47EE-A100-D759969493FD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Looks higher historically but decently close to average, and limited public history.</t>
        </r>
      </text>
    </comment>
    <comment ref="K29" authorId="0" shapeId="0" xr:uid="{53CAC541-139D-4540-9D71-A2D2B13D1EAA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Standard U.S. effective tax rate.</t>
        </r>
      </text>
    </comment>
    <comment ref="N29" authorId="0" shapeId="0" xr:uid="{AEE877AF-2C13-40DB-AA4C-DF344064F79A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Q1 press release:
https://investor.redditinc.com/news-events/news-releases/news-details/2026/Reddit-Reports-First-Quarter-2026-Results/default.aspx</t>
        </r>
      </text>
    </comment>
    <comment ref="O29" authorId="0" shapeId="0" xr:uid="{FDE18858-6F50-480F-929B-B6650CC0A79F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Based on company disclosures on r/Redditstock; only reports DAU and WAU in earnings.</t>
        </r>
      </text>
    </comment>
    <comment ref="K30" authorId="0" shapeId="0" xr:uid="{A88C783E-8E0F-4605-A6BD-C83BD6782BBD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Standard U.S. effective tax rate.</t>
        </r>
      </text>
    </comment>
    <comment ref="N30" authorId="0" shapeId="0" xr:uid="{02E0408D-DF62-4B53-AE92-FC5A1DCE1540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VERY rough estimate based on LTM revenue and current estimated MAU. Different from RPP since that is only for users who directly pay.</t>
        </r>
      </text>
    </comment>
    <comment ref="O30" authorId="0" shapeId="0" xr:uid="{DE6B2522-E3EA-4E3C-B25E-6CDE749A206C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82 million MAU across properties quoted here; assuming modest increase since then:
https://mtch.com/single-news/1017/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BIWS</author>
  </authors>
  <commentList>
    <comment ref="K8" authorId="0" shapeId="0" xr:uid="{98A8B304-62BA-45D3-803B-DB939AAFAED8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Standard U.S. effective corporate tax rate.</t>
        </r>
      </text>
    </comment>
    <comment ref="N8" authorId="0" shapeId="0" xr:uid="{87B7D7DD-758C-48D4-BCCD-7F1A0438DF77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10-Q.</t>
        </r>
      </text>
    </comment>
    <comment ref="O8" authorId="0" shapeId="0" xr:uid="{6F981178-D9D1-42F2-8590-7DB746C3A31D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About 60% Space Systems and 40% Launch Services.</t>
        </r>
      </text>
    </comment>
    <comment ref="K9" authorId="0" shapeId="0" xr:uid="{30E57A0F-CFA0-4A13-A857-E59C622B3633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Standard U.S. effective corporate tax rate.</t>
        </r>
      </text>
    </comment>
    <comment ref="N9" authorId="0" shapeId="0" xr:uid="{4BB84123-8D6B-4D9F-AE4A-CF4C24AC08C5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10-Q.</t>
        </r>
      </text>
    </comment>
    <comment ref="O9" authorId="0" shapeId="0" xr:uid="{D592AFF0-D2DB-48F0-B7F3-03228DAA110A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Revenue appears to be mostly Defense with 10-15% Space.</t>
        </r>
      </text>
    </comment>
    <comment ref="K10" authorId="0" shapeId="0" xr:uid="{FAFDAF2A-62E6-4E4A-A4CB-52BB3CE0A0A3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Standard U.S. effective corporate tax rate.</t>
        </r>
      </text>
    </comment>
    <comment ref="N10" authorId="0" shapeId="0" xr:uid="{A38883D5-2E94-4785-92BE-A3A6C923F8E7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Total. Funded Backlog was $1.457B as of Q1.</t>
        </r>
      </text>
    </comment>
    <comment ref="K11" authorId="0" shapeId="0" xr:uid="{97B2FBCF-1B15-4810-8BDB-36E5648C790E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Standard U.S. effective corporate tax rate.</t>
        </r>
      </text>
    </comment>
    <comment ref="N11" authorId="0" shapeId="0" xr:uid="{8E309CBD-58FA-471C-87A8-C5E7C0920207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10-Q.</t>
        </r>
      </text>
    </comment>
    <comment ref="O11" authorId="0" shapeId="0" xr:uid="{EC6263D7-96C4-4AC6-AEB8-54797A78126D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About 72% Space and the remainder in Defense.</t>
        </r>
      </text>
    </comment>
    <comment ref="K12" authorId="0" shapeId="0" xr:uid="{3F2886DE-17F8-4578-BDCA-2FC0CDC62685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Standard U.S. effective corporate tax rate.</t>
        </r>
      </text>
    </comment>
    <comment ref="N12" authorId="0" shapeId="0" xr:uid="{6AA619AC-BF4B-4576-8052-3D72AF2C2A53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$3.7 billion CAD as of the end of Q1; converted to USD.</t>
        </r>
      </text>
    </comment>
    <comment ref="O12" authorId="0" shapeId="0" xr:uid="{536E3587-336A-4561-9D6C-69A973D5AC93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Split unclear from press release.</t>
        </r>
      </text>
    </comment>
    <comment ref="K13" authorId="0" shapeId="0" xr:uid="{286ED2B3-DA2C-4949-AE5C-770D2E34850F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Standard U.S. effective corporate tax rate.</t>
        </r>
      </text>
    </comment>
    <comment ref="N13" authorId="0" shapeId="0" xr:uid="{C780B9B3-339A-4C57-A882-8EDE921CECB4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10-Q.</t>
        </r>
      </text>
    </comment>
    <comment ref="K14" authorId="0" shapeId="0" xr:uid="{1A6AC0E5-1968-482E-A934-7336495F2997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Standard U.S. effective corporate tax rate.</t>
        </r>
      </text>
    </comment>
    <comment ref="N14" authorId="0" shapeId="0" xr:uid="{984C1774-C202-4019-ACFA-192D9B5FD63F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"Contracted backlog" from 10-Q.</t>
        </r>
      </text>
    </comment>
    <comment ref="K15" authorId="0" shapeId="0" xr:uid="{02953AD5-A0E0-41EC-A2A5-866B2FDDA412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Standard U.S. effective corporate tax rate.</t>
        </r>
      </text>
    </comment>
    <comment ref="N15" authorId="0" shapeId="0" xr:uid="{103389B5-22A9-4BD1-97F4-BDE0604BDD54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10-Q.</t>
        </r>
      </text>
    </comment>
    <comment ref="K16" authorId="0" shapeId="0" xr:uid="{3AE51747-C37C-44DF-A12A-9D196D3C2935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Standard U.S. effective corporate tax rate.</t>
        </r>
      </text>
    </comment>
    <comment ref="N16" authorId="0" shapeId="0" xr:uid="{978CC5A5-1FD4-4F8F-8AA3-766549693E55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$275.3 total but only $153.M funded per 10-Q.</t>
        </r>
      </text>
    </comment>
    <comment ref="K23" authorId="0" shapeId="0" xr:uid="{F83C0E93-865E-4293-A946-00B5E5C8E50A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Standard U.S. effective corporate tax rate.</t>
        </r>
      </text>
    </comment>
    <comment ref="N23" authorId="0" shapeId="0" xr:uid="{3390906E-33F9-41F2-8091-F37CE5358904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10-Q.</t>
        </r>
      </text>
    </comment>
    <comment ref="O23" authorId="0" shapeId="0" xr:uid="{FF84B650-5CC3-4DA9-8974-A5B673473DA8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Much higher because 83% of the Backlog is for Commercial Aviation rather than Defense.</t>
        </r>
      </text>
    </comment>
    <comment ref="K24" authorId="0" shapeId="0" xr:uid="{6006C261-F868-4F89-B4BA-881E2FA961CA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Standard U.S. effective corporate tax rate.</t>
        </r>
      </text>
    </comment>
    <comment ref="N24" authorId="0" shapeId="0" xr:uid="{B599298B-D5EC-456F-B657-FCF7BB4568FF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10-Q.</t>
        </r>
      </text>
    </comment>
    <comment ref="O24" authorId="0" shapeId="0" xr:uid="{CFE59502-BE9F-4081-8C8A-1A56B7C05EF2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Around 60% Commercial and 40% Defense.</t>
        </r>
      </text>
    </comment>
    <comment ref="K25" authorId="0" shapeId="0" xr:uid="{7F627F8C-93BF-4401-BF2D-6424E2BDA32E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Standard U.S. effective corporate tax rate.</t>
        </r>
      </text>
    </comment>
    <comment ref="N25" authorId="0" shapeId="0" xr:uid="{5DD52223-7D2F-469D-9C8D-28514B3E5379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10-Q.</t>
        </r>
      </text>
    </comment>
    <comment ref="O25" authorId="0" shapeId="0" xr:uid="{EE1C2392-4E77-4D6D-BF94-3319DA01CB55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~100% Defense.</t>
        </r>
      </text>
    </comment>
    <comment ref="K26" authorId="0" shapeId="0" xr:uid="{2303CE8D-09CF-4E8D-928B-F45B0BB633DD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Standard U.S. effective corporate tax rate.</t>
        </r>
      </text>
    </comment>
    <comment ref="N26" authorId="0" shapeId="0" xr:uid="{BD870D76-CD77-46B7-B507-053B853F83F0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10-Q.</t>
        </r>
      </text>
    </comment>
    <comment ref="O26" authorId="0" shapeId="0" xr:uid="{5D689BFE-EC69-4E6A-8A85-9F981B9A17C6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~100% Defense.</t>
        </r>
      </text>
    </comment>
    <comment ref="K27" authorId="0" shapeId="0" xr:uid="{53342341-AA0A-457E-8325-035615E57FBD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Standard U.S. effective corporate tax rate.</t>
        </r>
      </text>
    </comment>
    <comment ref="N27" authorId="0" shapeId="0" xr:uid="{B626EFF9-21D9-4129-B915-5F43DA6B063B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10-Q.</t>
        </r>
      </text>
    </comment>
    <comment ref="O27" authorId="0" shapeId="0" xr:uid="{7C52E15B-31DC-4BF2-8A82-F0D6D73F7363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~100% Defense.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BIWS</author>
  </authors>
  <commentList>
    <comment ref="F6" authorId="0" shapeId="0" xr:uid="{78B8DE0B-E29A-4DCD-B542-6157E59EAEE7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20-year UST Yield as of valuation date.</t>
        </r>
      </text>
    </comment>
    <comment ref="F7" authorId="0" shapeId="0" xr:uid="{28FB6C9F-D010-4AC7-AB43-22A8CC05EB22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Based on Damodaran's data as of valuation date.</t>
        </r>
      </text>
    </comment>
    <comment ref="F8" authorId="0" shapeId="0" xr:uid="{CB48727C-95A3-446D-8283-C0DC1675A36B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Very rough approximation based on disclosed interest rates in filings; no YTM information.</t>
        </r>
      </text>
    </comment>
    <comment ref="F9" authorId="0" shapeId="0" xr:uid="{1A682BD8-3EC9-438E-83D3-686710652B52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No company has substantial Preferred Stock, but Comtech is the closest sector comp; 9.0% coupon rate per the language in their 10-K:
"The Series B-3 Convertible Preferred Stock ranks senior to the shares of our common stock, with respect to the payment of dividends and the distribution of assets upon a liquidation, dissolution or winding up of the Company. Each share of Series B-3 Convertible Preferred Stock is entitled to a cumulative dividend (the "Dividend”) at the rate of 9.00% per annum, compounding quarterly, paid-in-kind, or 7.75% per annum"</t>
        </r>
      </text>
    </comment>
    <comment ref="F11" authorId="0" shapeId="0" xr:uid="{782FFB4D-600D-4CAA-A142-74A3C18A95C6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Starlink has significantly higher CapEx and growth rates and a falling ARPU, unlike most of the high-growth comps.</t>
        </r>
      </text>
    </comment>
    <comment ref="F12" authorId="0" shapeId="0" xr:uid="{E3BA3543-7C96-4F3E-B71A-94E7C0FE6DDB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xAI is spending far more relative to its true organic growth than any other company in these sets.</t>
        </r>
      </text>
    </comment>
    <comment ref="F13" authorId="0" shapeId="0" xr:uid="{59B1F8DC-033E-4028-865D-77219058E910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Space spends far more on CapEx than most of these comps and is unprofitable, despite modest growth.</t>
        </r>
      </text>
    </comment>
    <comment ref="E17" authorId="0" shapeId="0" xr:uid="{E9FDD64D-2723-449B-9C4B-B67836BB1AE1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Rough weighted average.</t>
        </r>
      </text>
    </comment>
    <comment ref="E18" authorId="0" shapeId="0" xr:uid="{7501507C-5F56-4C1C-86A7-1672E62D05DE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Approximate weighted average for X First Lien and xAI First Lien loans.</t>
        </r>
      </text>
    </comment>
    <comment ref="E19" authorId="0" shapeId="0" xr:uid="{C2A8170E-B93C-4956-9622-2F8E0D8E2040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Per F-79 of S-1.</t>
        </r>
      </text>
    </comment>
    <comment ref="F19" authorId="0" shapeId="0" xr:uid="{8E8393AB-A396-4B24-8C6D-30C430084F97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Not counting as Debt for purposes of WACC. Deducting Fin. Lease Expense in UFCF and not counting Leases in TEV bridge.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<sst xmlns="http://schemas.openxmlformats.org/spreadsheetml/2006/main" count="1264" uniqueCount="420">
  <si>
    <t>($ in Millions Except Per Share Data)</t>
  </si>
  <si>
    <t>Effective Tax Rate:</t>
  </si>
  <si>
    <t>Discount Rate (WACC):</t>
  </si>
  <si>
    <t>Net Operating Profit After Tax (NOPAT):</t>
  </si>
  <si>
    <t>Unlevered Free Cash Flow:</t>
  </si>
  <si>
    <t>Baseline Terminal EBITDA Multiple:</t>
  </si>
  <si>
    <t>Baseline Terminal Value:</t>
  </si>
  <si>
    <t>Baseline Terminal FCF Growth Rate:</t>
  </si>
  <si>
    <t>Implied Terminal FCF Growth Rate:</t>
  </si>
  <si>
    <t>Implied Terminal EBITDA Multiple:</t>
  </si>
  <si>
    <t>EBITDA:</t>
  </si>
  <si>
    <t>Company Name:</t>
  </si>
  <si>
    <t>Implied Enterprise Value:</t>
  </si>
  <si>
    <t>Growth Rate:</t>
  </si>
  <si>
    <t>Terminal Value - Multiples Method:</t>
  </si>
  <si>
    <t>(+) PV of Terminal Value:</t>
  </si>
  <si>
    <t>(+) Sum of PV of Free Cash Flows:</t>
  </si>
  <si>
    <t>Units:</t>
  </si>
  <si>
    <t>%</t>
  </si>
  <si>
    <t>M Users</t>
  </si>
  <si>
    <t>$ M</t>
  </si>
  <si>
    <t>(-) Cash Taxes:</t>
  </si>
  <si>
    <t>(-) Capital Expenditures:</t>
  </si>
  <si>
    <t>Revenue Growth Rate:</t>
  </si>
  <si>
    <t>Last Fiscal Year End:</t>
  </si>
  <si>
    <t>Historical:</t>
  </si>
  <si>
    <t>(+) Depreciation &amp; Amortization:</t>
  </si>
  <si>
    <t>(+/-) Change in Working Capital:</t>
  </si>
  <si>
    <t>Risk-Free Rate:</t>
  </si>
  <si>
    <t>Equity Risk Premium:</t>
  </si>
  <si>
    <t>Pre-Tax Cost of Debt:</t>
  </si>
  <si>
    <t>Cost of Preferred Stock:</t>
  </si>
  <si>
    <t>Levered</t>
  </si>
  <si>
    <t>Preferred</t>
  </si>
  <si>
    <t>Equity</t>
  </si>
  <si>
    <t>Unlevered</t>
  </si>
  <si>
    <t>Name</t>
  </si>
  <si>
    <t>Ticker</t>
  </si>
  <si>
    <t>Beta</t>
  </si>
  <si>
    <t>Debt</t>
  </si>
  <si>
    <t>% Debt</t>
  </si>
  <si>
    <t>Stock</t>
  </si>
  <si>
    <t>% Preferred</t>
  </si>
  <si>
    <t>Value</t>
  </si>
  <si>
    <t>% Equity</t>
  </si>
  <si>
    <t>Tax Rate</t>
  </si>
  <si>
    <t>Median:</t>
  </si>
  <si>
    <t>WACC = Cost of Equity * % Equity + Cost of Debt * (1 - Tax Rate) * % Debt + Cost of Preferred Stock * % Preferred Stock</t>
  </si>
  <si>
    <t>Average WACC Produced by All Methods:</t>
  </si>
  <si>
    <t>Ticker:</t>
  </si>
  <si>
    <t>Discount Period:</t>
  </si>
  <si>
    <t>Cumulative Discount Factor:</t>
  </si>
  <si>
    <t>Initial Discount Rate (WACC):</t>
  </si>
  <si>
    <t>Terminal Discount Rate:</t>
  </si>
  <si>
    <t>PV of Unlevered FCF:</t>
  </si>
  <si>
    <t>Scenario:</t>
  </si>
  <si>
    <t>#</t>
  </si>
  <si>
    <t>Selected Terminal FCF Growth Rate:</t>
  </si>
  <si>
    <t>Selected Terminal EBITDA Multiple:</t>
  </si>
  <si>
    <t>Projected:</t>
  </si>
  <si>
    <t>M People</t>
  </si>
  <si>
    <t>Population Growth Rate:</t>
  </si>
  <si>
    <t>Expected Global GDP Growth:</t>
  </si>
  <si>
    <t>EBITDA</t>
  </si>
  <si>
    <t>Margin</t>
  </si>
  <si>
    <t>Revenue</t>
  </si>
  <si>
    <t>Terminal Value - Perpetuity Growth Method:</t>
  </si>
  <si>
    <t>Projected Financial Metrics &amp; Multiples:</t>
  </si>
  <si>
    <t>Valuation Date:</t>
  </si>
  <si>
    <t>$ / User</t>
  </si>
  <si>
    <t>Total Revenue:</t>
  </si>
  <si>
    <t>(+) Consumer:</t>
  </si>
  <si>
    <t>(+) Enterprise &amp; Government:</t>
  </si>
  <si>
    <t>Implied Consumer Revenue:</t>
  </si>
  <si>
    <t>% Implied:</t>
  </si>
  <si>
    <t>Months in Forecast Period:</t>
  </si>
  <si>
    <t>SpaceX Inc.</t>
  </si>
  <si>
    <t>Addressable Rural Households:</t>
  </si>
  <si>
    <t>% Addressable Market:</t>
  </si>
  <si>
    <t>Commercial Aircraft + Maritime Worldwide:</t>
  </si>
  <si>
    <t>Average per Unit Monthly Rate:</t>
  </si>
  <si>
    <t>$ / Ship</t>
  </si>
  <si>
    <t>Implied # of Ship Customers:</t>
  </si>
  <si>
    <t>Ships</t>
  </si>
  <si>
    <t>Conversion Units:</t>
  </si>
  <si>
    <t>Capital Expenditures (CapEx):</t>
  </si>
  <si>
    <t>CapEx per Subscriber:</t>
  </si>
  <si>
    <t>Cost of Revenue:</t>
  </si>
  <si>
    <t>Gross Margin:</t>
  </si>
  <si>
    <t>Operating Expenses:</t>
  </si>
  <si>
    <t>% Revenue:</t>
  </si>
  <si>
    <t>Segment Revenue:</t>
  </si>
  <si>
    <t>Operating Income (EBIT):</t>
  </si>
  <si>
    <t>Operating Margin:</t>
  </si>
  <si>
    <t>Estimated Change in Working Capital:</t>
  </si>
  <si>
    <t>% Change in Revenue:</t>
  </si>
  <si>
    <t>Depreciation &amp; Amortization (D&amp;A):</t>
  </si>
  <si>
    <t>Margin:</t>
  </si>
  <si>
    <t>SPCX</t>
  </si>
  <si>
    <t xml:space="preserve">TEV / </t>
  </si>
  <si>
    <t>Iridium Communications</t>
  </si>
  <si>
    <t>NasdaqGS:IRDM</t>
  </si>
  <si>
    <t>3-Year Ann.</t>
  </si>
  <si>
    <t>Rev. Growth</t>
  </si>
  <si>
    <t>ARPU</t>
  </si>
  <si>
    <t># Subscribers</t>
  </si>
  <si>
    <t>CapEx %</t>
  </si>
  <si>
    <t>N/A</t>
  </si>
  <si>
    <t>Eutelsat Communications S.A.</t>
  </si>
  <si>
    <t>ENXTPA:ETL</t>
  </si>
  <si>
    <t>LTM</t>
  </si>
  <si>
    <t>LTM Gross</t>
  </si>
  <si>
    <t>AST SpaceMobile, Inc.</t>
  </si>
  <si>
    <t>NasdaqGS:ASTS</t>
  </si>
  <si>
    <t>NM</t>
  </si>
  <si>
    <t>Telesat Corporation</t>
  </si>
  <si>
    <t>NasdaqGS:TSAT</t>
  </si>
  <si>
    <t>Public Satellite Companies:</t>
  </si>
  <si>
    <t>Globalstar, Inc.</t>
  </si>
  <si>
    <t>NasdaqGS:GSAT</t>
  </si>
  <si>
    <t>(Millions)</t>
  </si>
  <si>
    <t>EchoStar Corporation</t>
  </si>
  <si>
    <t>NasdaqGS:SATS</t>
  </si>
  <si>
    <t>Viasat, Inc.</t>
  </si>
  <si>
    <t>NasdaqGS:VSAT</t>
  </si>
  <si>
    <t>SES S.A.</t>
  </si>
  <si>
    <t>ENXTPA:SESG</t>
  </si>
  <si>
    <t>Historical Operational Metrics:</t>
  </si>
  <si>
    <t xml:space="preserve">Bharti Airtel Limited </t>
  </si>
  <si>
    <t xml:space="preserve">MTN Group Limited </t>
  </si>
  <si>
    <t xml:space="preserve">Vodacom Group Limited </t>
  </si>
  <si>
    <t xml:space="preserve">Vodafone Idea Limited </t>
  </si>
  <si>
    <t xml:space="preserve">VEON Ltd. </t>
  </si>
  <si>
    <t xml:space="preserve">Mobile Telecommunications Company K.S.C.P. </t>
  </si>
  <si>
    <t xml:space="preserve">Safaricom PLC </t>
  </si>
  <si>
    <t xml:space="preserve">PT XLSMART Telecom Sejahtera Tbk </t>
  </si>
  <si>
    <t>BSE:532454</t>
  </si>
  <si>
    <t>JSE:MTN</t>
  </si>
  <si>
    <t>JSE:VOD</t>
  </si>
  <si>
    <t>NSEI:IDEA</t>
  </si>
  <si>
    <t>NasdaqGS:VEON</t>
  </si>
  <si>
    <t>KWSE:ZAIN</t>
  </si>
  <si>
    <t>NASE:SCOM</t>
  </si>
  <si>
    <t>IDX:EXCL</t>
  </si>
  <si>
    <t>Emerging Markets-Focused Telecom/Wireless Companies with &gt;10% Projected Organic Revenue Growth:</t>
  </si>
  <si>
    <t>Vodafone Group Public Limited Company</t>
  </si>
  <si>
    <t>LSE:VOD</t>
  </si>
  <si>
    <t>Large, Mature Wireless Companies with &gt; $10 Billion USD in Revenue (Mix of EM and DM Focus):</t>
  </si>
  <si>
    <t>SpaceX Bridge Loan:</t>
  </si>
  <si>
    <t>X 2027 and X 2030 Notes:</t>
  </si>
  <si>
    <t>Other Financings:</t>
  </si>
  <si>
    <t>Finance Lease Liabilities:</t>
  </si>
  <si>
    <t>Total:</t>
  </si>
  <si>
    <t>Rate:</t>
  </si>
  <si>
    <t>Principal:</t>
  </si>
  <si>
    <t>Fair Value:</t>
  </si>
  <si>
    <t xml:space="preserve">América Móvil, S.A.B. de C.V. </t>
  </si>
  <si>
    <t xml:space="preserve">China Mobile Limited </t>
  </si>
  <si>
    <t xml:space="preserve">T-Mobile US, Inc. </t>
  </si>
  <si>
    <t xml:space="preserve">China United Network Communications Limited </t>
  </si>
  <si>
    <t xml:space="preserve">Charter Communications, Inc. </t>
  </si>
  <si>
    <t xml:space="preserve">KDDI Corporation </t>
  </si>
  <si>
    <t>BMV:AMX B</t>
  </si>
  <si>
    <t>SEHK:941</t>
  </si>
  <si>
    <t>NasdaqGS:TMUS</t>
  </si>
  <si>
    <t>SHSE:600050</t>
  </si>
  <si>
    <t>NasdaqGS:CHTR</t>
  </si>
  <si>
    <t>TSE:9433</t>
  </si>
  <si>
    <t>SoftBank Corp.</t>
  </si>
  <si>
    <t>TSE:9434</t>
  </si>
  <si>
    <t>Satellite Companies:</t>
  </si>
  <si>
    <t>High-Growth Telecoms:</t>
  </si>
  <si>
    <t>Mature Telecoms:</t>
  </si>
  <si>
    <t>Operating Assumptions:</t>
  </si>
  <si>
    <t>Date</t>
  </si>
  <si>
    <t>Operating Scenario:</t>
  </si>
  <si>
    <t>Initial NOL Balance:</t>
  </si>
  <si>
    <t>Allowed NOL Usage % Taxable Income:</t>
  </si>
  <si>
    <t>Corporate Overhead % Revenue:</t>
  </si>
  <si>
    <t>Components of Enterprise Value (Sum of the Parts):</t>
  </si>
  <si>
    <t>Implied Enterprise Value</t>
  </si>
  <si>
    <t>Implied Equity Value:</t>
  </si>
  <si>
    <t>Financial Forecasts:</t>
  </si>
  <si>
    <t>Revenue Growth:</t>
  </si>
  <si>
    <t>(-) Corporate Overhead:</t>
  </si>
  <si>
    <t>Beginning NOL Balance:</t>
  </si>
  <si>
    <t>(+) NOLs Created:</t>
  </si>
  <si>
    <t>(-) NOLs Used:</t>
  </si>
  <si>
    <t>Ending NOL Balance:</t>
  </si>
  <si>
    <t>NOL-Adjusted Operating Income:</t>
  </si>
  <si>
    <t>Net Operating Profit After Taxes (NOPAT):</t>
  </si>
  <si>
    <t>Unlevered Free Cash Flow (UFCF):</t>
  </si>
  <si>
    <t>Sensitivity Tables:</t>
  </si>
  <si>
    <t># Months</t>
  </si>
  <si>
    <t>Division Name:</t>
  </si>
  <si>
    <t>Starlink</t>
  </si>
  <si>
    <t>Individual Subscribers:</t>
  </si>
  <si>
    <t>Monthly ARPU:</t>
  </si>
  <si>
    <t>($ in Millions USD Except Per Share Data)</t>
  </si>
  <si>
    <t>Initial Addressable Rural Households:</t>
  </si>
  <si>
    <t>Final Market Share (20-Year):</t>
  </si>
  <si>
    <t>Terminal Gross Margin:</t>
  </si>
  <si>
    <t>Terminal OpEx % Revenue:</t>
  </si>
  <si>
    <t>Universal Assumptions for All Divisions:</t>
  </si>
  <si>
    <t>Cost of Debt (Universal Across Divisions):</t>
  </si>
  <si>
    <t>D&amp;A per Subscriber:</t>
  </si>
  <si>
    <t>Initial Stepdown in CapEx Growth per Sub:</t>
  </si>
  <si>
    <t>Initial Stepdown in OpEx % Revenue:</t>
  </si>
  <si>
    <t>Terminal CapEx Growth Rate per Sub:</t>
  </si>
  <si>
    <t>Forecast Period:</t>
  </si>
  <si>
    <t># Years</t>
  </si>
  <si>
    <t>Terminal ARPU Growth Rate:</t>
  </si>
  <si>
    <t>Initial Change in ARPU Growth Rate:</t>
  </si>
  <si>
    <t>Differential to Calculated Consumer Rev.:</t>
  </si>
  <si>
    <t>Revenue by Division:</t>
  </si>
  <si>
    <t>Operating Income (EBIT) by Division:</t>
  </si>
  <si>
    <t>Segment-Level EBIT:</t>
  </si>
  <si>
    <t>Segment-Level Margin:</t>
  </si>
  <si>
    <t>(-) Finance Lease Interest:</t>
  </si>
  <si>
    <t>(-) Finance Lease Principal Repayments:</t>
  </si>
  <si>
    <t>Revenue:</t>
  </si>
  <si>
    <t>CapEx % Revenue:</t>
  </si>
  <si>
    <t>EBITDA Margin:</t>
  </si>
  <si>
    <t>Subscribers:</t>
  </si>
  <si>
    <t>Final:</t>
  </si>
  <si>
    <t>Key Metrics:</t>
  </si>
  <si>
    <t>High-Growth</t>
  </si>
  <si>
    <t>Telecoms:</t>
  </si>
  <si>
    <t>Mature</t>
  </si>
  <si>
    <t>Ship Customers:</t>
  </si>
  <si>
    <t>Unit Monthly Rate:</t>
  </si>
  <si>
    <t>Discount Rate Change from Start to Finish:</t>
  </si>
  <si>
    <t>Median Forward TEV / EBITDA of Peer Companies:</t>
  </si>
  <si>
    <t>Implied Enterprise Value Across Scenarios and Discount Rates:</t>
  </si>
  <si>
    <t>AI</t>
  </si>
  <si>
    <t>Nameplate Compute Draw:</t>
  </si>
  <si>
    <t>(+) AI Solutions &amp; Infrastructure:</t>
  </si>
  <si>
    <t>(+) Advertising:</t>
  </si>
  <si>
    <t>MW</t>
  </si>
  <si>
    <t>$ M / MW</t>
  </si>
  <si>
    <t>X - Monthly Active Users (MAUs):</t>
  </si>
  <si>
    <t>M MAU</t>
  </si>
  <si>
    <t>$ / MAU</t>
  </si>
  <si>
    <t>Average Nameplate Compute Draw:</t>
  </si>
  <si>
    <t>Global AI Data Center Power Capacity:</t>
  </si>
  <si>
    <t>Global Market Share:</t>
  </si>
  <si>
    <t>Unused Capacity %:</t>
  </si>
  <si>
    <t>Average Unused Capacity Rented Out:</t>
  </si>
  <si>
    <t>Average Used Capacity:</t>
  </si>
  <si>
    <t>Unused Compute Licensing Rates:</t>
  </si>
  <si>
    <t>(+) Unused Compute Capacity Revenue:</t>
  </si>
  <si>
    <t>Ad Revenue per Average MAU:</t>
  </si>
  <si>
    <t>D&amp;A per Average Nameplate Compute:</t>
  </si>
  <si>
    <t>CapEx per Average Nameplate Compute:</t>
  </si>
  <si>
    <t>CoreWeave, Inc.</t>
  </si>
  <si>
    <t>NasdaqGS:CRWV</t>
  </si>
  <si>
    <t>CapEx per</t>
  </si>
  <si>
    <t>Capacity</t>
  </si>
  <si>
    <t>Active</t>
  </si>
  <si>
    <t>(MW)</t>
  </si>
  <si>
    <t>New MW</t>
  </si>
  <si>
    <t>Avg. Rev. per</t>
  </si>
  <si>
    <t>MW ($M)</t>
  </si>
  <si>
    <t>Nebius Group N.V.</t>
  </si>
  <si>
    <t>NasdaqGS:NBIS</t>
  </si>
  <si>
    <t>WhiteFiber, Inc.</t>
  </si>
  <si>
    <t>NasdaqCM:WYFI</t>
  </si>
  <si>
    <t>IREN Limited</t>
  </si>
  <si>
    <t>NasdaqGS:IREN</t>
  </si>
  <si>
    <t>Applied Digital Corporation</t>
  </si>
  <si>
    <t>NasdaqGS:APLD</t>
  </si>
  <si>
    <t>TeraWulf Inc.</t>
  </si>
  <si>
    <t>NasdaqCM:WULF</t>
  </si>
  <si>
    <t>Cipher Digital Inc.</t>
  </si>
  <si>
    <t>NasdaqGS:CIFR</t>
  </si>
  <si>
    <t>GPU-First Neoclouds:</t>
  </si>
  <si>
    <t>Social Media Companies:</t>
  </si>
  <si>
    <t>Snap Inc.</t>
  </si>
  <si>
    <t># MAU</t>
  </si>
  <si>
    <t>Pinterest, Inc.</t>
  </si>
  <si>
    <t>NYSE:PINS</t>
  </si>
  <si>
    <t>NYSE:SNAP</t>
  </si>
  <si>
    <t>Reddit, Inc.</t>
  </si>
  <si>
    <t>NYSE:RDDT</t>
  </si>
  <si>
    <t>Match Group, Inc.</t>
  </si>
  <si>
    <t>NasdaqGS:MTCH</t>
  </si>
  <si>
    <t>Infrastructure-First Hosting (No GPUs):</t>
  </si>
  <si>
    <t>Terminal Growth Rate:</t>
  </si>
  <si>
    <t>Long-Term % Unused Capacity Rented Out:</t>
  </si>
  <si>
    <t>Initial Gross Margin:</t>
  </si>
  <si>
    <t>Initial OpEx % Revenue:</t>
  </si>
  <si>
    <t>Year 1 Growth in Global AI Data Center Capacity:</t>
  </si>
  <si>
    <t>Annual Stepdown in Growth Rate:</t>
  </si>
  <si>
    <t>Depreciation &amp; Amortization:</t>
  </si>
  <si>
    <t>AI Revenue per Average Used MW:</t>
  </si>
  <si>
    <t>AI Revenue per Used MW - Initial Growth Rate:</t>
  </si>
  <si>
    <t>Enterprise - Initial Monthly Unit Rate Growth:</t>
  </si>
  <si>
    <t>Enterprise - Terminal Monthly Unit Rate Growth:</t>
  </si>
  <si>
    <t>Annual Stepdown:</t>
  </si>
  <si>
    <t>See AI tab.</t>
  </si>
  <si>
    <t>AI Data Centers - Initial Market Share:</t>
  </si>
  <si>
    <t>AI Data Centers - Final Market Share (20-Year):</t>
  </si>
  <si>
    <t>Capital Expenditures:</t>
  </si>
  <si>
    <t>Active Capacity:</t>
  </si>
  <si>
    <t>GPU-First</t>
  </si>
  <si>
    <t>Neoclouds:</t>
  </si>
  <si>
    <t>Infra-First</t>
  </si>
  <si>
    <t>Hosting:</t>
  </si>
  <si>
    <t>AI Revenue per MW:</t>
  </si>
  <si>
    <t>Unused Capacity:</t>
  </si>
  <si>
    <t>Licensing Rates:</t>
  </si>
  <si>
    <t>X - Monthly Active Users:</t>
  </si>
  <si>
    <t>Ad Revenue per MAU:</t>
  </si>
  <si>
    <t>Satellite</t>
  </si>
  <si>
    <t>Co's:</t>
  </si>
  <si>
    <t>Social</t>
  </si>
  <si>
    <t>Media:</t>
  </si>
  <si>
    <t>D&amp;A % Revenue:</t>
  </si>
  <si>
    <t>Most Recent</t>
  </si>
  <si>
    <t>Median from Comparables:</t>
  </si>
  <si>
    <t>Space</t>
  </si>
  <si>
    <t># Launches</t>
  </si>
  <si>
    <t>Total Space Revenue:</t>
  </si>
  <si>
    <t>CapEx per Orbital Launch:</t>
  </si>
  <si>
    <t>$ M / Launch</t>
  </si>
  <si>
    <t>D&amp;A per Orbital Launch:</t>
  </si>
  <si>
    <t>Year 1 Orbital Launch Growth Rate:</t>
  </si>
  <si>
    <t>Terminal Orbital Launch Growth Rate:</t>
  </si>
  <si>
    <t>Year 1 Gross Margin:</t>
  </si>
  <si>
    <t>Year 1 OpEx % Revenue:</t>
  </si>
  <si>
    <t>See SPC tab.</t>
  </si>
  <si>
    <t>Launches per Day:</t>
  </si>
  <si>
    <t>Smaller-Scale Rocket/Space Tech Companies:</t>
  </si>
  <si>
    <t>"Big 5" U.S. Defense Contractors:</t>
  </si>
  <si>
    <t>The Boeing Company</t>
  </si>
  <si>
    <t>NYSE:BA</t>
  </si>
  <si>
    <t>Backlog</t>
  </si>
  <si>
    <t>LTM Revenue</t>
  </si>
  <si>
    <t>Backlog /</t>
  </si>
  <si>
    <t>RTX Corporation</t>
  </si>
  <si>
    <t>NYSE:RTX</t>
  </si>
  <si>
    <t>Lockheed Martin Corporation</t>
  </si>
  <si>
    <t>NYSE:LMT</t>
  </si>
  <si>
    <t>General Dynamics Corporation</t>
  </si>
  <si>
    <t>NYSE:GD</t>
  </si>
  <si>
    <t>Northrop Grumman Corporation</t>
  </si>
  <si>
    <t>NYSE:NOC</t>
  </si>
  <si>
    <t>Launches / Day</t>
  </si>
  <si>
    <t>TSX:MDA</t>
  </si>
  <si>
    <t>NYSE:YSS</t>
  </si>
  <si>
    <t>NasdaqGM:FLY</t>
  </si>
  <si>
    <t>NYSE:VOYG</t>
  </si>
  <si>
    <t>NasdaqGS:RKLB</t>
  </si>
  <si>
    <t>NasdaqGS:AVAV</t>
  </si>
  <si>
    <t>NasdaqGS:KTOS</t>
  </si>
  <si>
    <t>NYSE:RDW</t>
  </si>
  <si>
    <t>NasdaqGM:LUNR</t>
  </si>
  <si>
    <t>Smaller-Scale Rocket/Space Tech:</t>
  </si>
  <si>
    <t>Rocket Lab Corporation</t>
  </si>
  <si>
    <t>AeroVironment, Inc.</t>
  </si>
  <si>
    <t>Kratos Defense &amp; Security Solutions, Inc.</t>
  </si>
  <si>
    <t>Redwire Corporation</t>
  </si>
  <si>
    <t>MDA Space Ltd.</t>
  </si>
  <si>
    <t>York Space Systems, Inc.</t>
  </si>
  <si>
    <t>Intuitive Machines</t>
  </si>
  <si>
    <t>Firefly Aerospace Inc.</t>
  </si>
  <si>
    <t>Voyager Technologies, Inc.</t>
  </si>
  <si>
    <t>Orbital Launches for External Customers:</t>
  </si>
  <si>
    <t>Revenue per External Launch:</t>
  </si>
  <si>
    <t>Year 1 Revenue per Launch Growth Rate:</t>
  </si>
  <si>
    <t>Terminal Revenue per Launch Growth Rate:</t>
  </si>
  <si>
    <t>External Orbital Launches:</t>
  </si>
  <si>
    <t>Revenue per Launch:</t>
  </si>
  <si>
    <t>Backlog / LTM Revenue:</t>
  </si>
  <si>
    <t>Rocket / Space</t>
  </si>
  <si>
    <t>Tech:</t>
  </si>
  <si>
    <t>Big 5 Def.</t>
  </si>
  <si>
    <t>Contractors:</t>
  </si>
  <si>
    <t>(+) Cash &amp; Non-Core Assets:</t>
  </si>
  <si>
    <t>Sum-of-the-Parts DCF Valuation Based on PV of Each Segment</t>
  </si>
  <si>
    <t>Per Share</t>
  </si>
  <si>
    <t>Net Cash</t>
  </si>
  <si>
    <t>Min Point</t>
  </si>
  <si>
    <t>25th Point</t>
  </si>
  <si>
    <t>Max Point</t>
  </si>
  <si>
    <t>Weighted/Blended Discount Rate:</t>
  </si>
  <si>
    <t>Segment-Level Cash Taxes:</t>
  </si>
  <si>
    <t>Tax Savings at Corporate Level:</t>
  </si>
  <si>
    <t>(-) PV of Corporate Overhead &amp; Finance Leases:</t>
  </si>
  <si>
    <t>(+) PV of Corporate-Level Tax Savings:</t>
  </si>
  <si>
    <t>(+) PV of Remaining NOLs in Final Year:</t>
  </si>
  <si>
    <t>(-) Redeemable Convertible Preferred Stock:</t>
  </si>
  <si>
    <t>(-) Debt:</t>
  </si>
  <si>
    <t>Terminal Value Estimates for Other Components:</t>
  </si>
  <si>
    <t>DCF Output:</t>
  </si>
  <si>
    <t>Corporate Overhead &amp; Finance Leases:</t>
  </si>
  <si>
    <t>Assumed Terminal Growth Rate:</t>
  </si>
  <si>
    <t>Corporate Overhead and Finance Lease Expense:</t>
  </si>
  <si>
    <t>Present Value:</t>
  </si>
  <si>
    <t>Corporate-Level Tax Savings:</t>
  </si>
  <si>
    <t>Implied Equity Value</t>
  </si>
  <si>
    <t>Corporate Overhead &amp; Finance Leases</t>
  </si>
  <si>
    <t>Corporate-Level Tax Savings</t>
  </si>
  <si>
    <t>Undiscounted Finance Lease Liabilities:</t>
  </si>
  <si>
    <t>Finance Lease Liability Discount Rate:</t>
  </si>
  <si>
    <t>Remaining Undiscounted Finance Lease Liability:</t>
  </si>
  <si>
    <t>Theoretical "Asking Price"</t>
  </si>
  <si>
    <t>Elon</t>
  </si>
  <si>
    <t>Optimistic</t>
  </si>
  <si>
    <t>Realistic</t>
  </si>
  <si>
    <t>PV of Other Items and TEV Bridge:</t>
  </si>
  <si>
    <t>Corporate-Level Operating Income (EBIT):</t>
  </si>
  <si>
    <t>Final Market Penetration:</t>
  </si>
  <si>
    <t>Final Market Penetration (20-Year):</t>
  </si>
  <si>
    <t>Initial Addressable Rural Households (Millions):</t>
  </si>
  <si>
    <t>Final Market Share:</t>
  </si>
  <si>
    <t>Proj. 3-Yr Ann. Rev. Growth:</t>
  </si>
  <si>
    <t>Baseline Implied TEV:</t>
  </si>
  <si>
    <t>Implied Equity Value in Current Scenario:</t>
  </si>
  <si>
    <t>Revenue by Segment: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</si>
</sst>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.0_);_(&quot;$&quot;* \(#,##0.0\);_(&quot;$&quot;* &quot;-&quot;?_);_(@_)"/>
    <numFmt numFmtId="165" formatCode="0.0%;\(0.0%\)"/>
    <numFmt numFmtId="166" formatCode="_(* #,##0.0_);_(* \(#,##0.0\);_(* &quot;-&quot;?_);_(@_)"/>
    <numFmt numFmtId="167" formatCode="_(0.0\ \x_);\(0.0\ \x\);_(&quot;–&quot;_);_(@_)"/>
    <numFmt numFmtId="168" formatCode="_(0.0%_);\(0.0%\);_(&quot;–&quot;_);_(@_)"/>
    <numFmt numFmtId="169" formatCode="0.0\ \x"/>
    <numFmt numFmtId="170" formatCode="yyyy\-mm\-dd"/>
    <numFmt numFmtId="171" formatCode="&quot;FY&quot;\ yy"/>
    <numFmt numFmtId="172" formatCode="0.0%"/>
    <numFmt numFmtId="173" formatCode="_(0.00%_);\(0.00%\);_(&quot;–&quot;_)_%;_(@_)_%"/>
    <numFmt numFmtId="174" formatCode="_(#,##0.00_)_%;\(#,##0.00\)_%;_(&quot;–&quot;_)_%;_(@_)_%"/>
    <numFmt numFmtId="175" formatCode="_(0.0%_);\(0.0%\);_(&quot;–&quot;_)_%;_(@_)_%"/>
    <numFmt numFmtId="176" formatCode="_(#,##0.00_);\(#,##0.00\);_(&quot;–&quot;_);_(@_)"/>
    <numFmt numFmtId="177" formatCode="0.00%;\(0.00%\)"/>
    <numFmt numFmtId="178" formatCode="_(* #,##0.000_);_(* \(#,##0.000\);_(* &quot;-&quot;???_);_(@_)"/>
    <numFmt numFmtId="179" formatCode="#,##0.0"/>
    <numFmt numFmtId="180" formatCode="_(* #,##0_);_(* \(#,##0\);_(* &quot;-&quot;?_);_(@_)"/>
    <numFmt numFmtId="181" formatCode="_(&quot;$&quot;* #,##0_);_(&quot;$&quot;* \(#,##0\);_(&quot;$&quot;* &quot;-&quot;?_);_(@_)"/>
    <numFmt numFmtId="182" formatCode="_(&quot;$&quot;* #,##0_);_(&quot;$&quot;* \(#,##0\);_(&quot;$&quot;* &quot;-&quot;??_);_(@_)"/>
    <numFmt numFmtId="183" formatCode="0.0000%;\(0.0000%\)"/>
    <numFmt numFmtId="184" formatCode="#,##0.0_);\(#,##0.0\)"/>
    <numFmt numFmtId="185" formatCode="0.000"/>
    <numFmt numFmtId="186" formatCode="_(* #,##0.00_);_(* \(#,##0.00\);_(* &quot;-&quot;_);_(@_)"/>
    <numFmt numFmtId="187" formatCode="0.00%;\(0.00%\);\-_)_%;@_)_%"/>
    <numFmt numFmtId="188" formatCode="_(* #,##0_);_(* \(#,##0\);_(* &quot;-&quot;??_);_(@_)"/>
    <numFmt numFmtId="189" formatCode="_(&quot;$&quot;* #,##0.0_);_(&quot;$&quot;* \(#,##0.0\);_(&quot;$&quot;* &quot;-&quot;_);_(@_)"/>
    <numFmt numFmtId="190" formatCode="_(&quot;$&quot;* #,##0.00_);_(&quot;$&quot;* \(#,##0.00\);_(&quot;$&quot;* &quot;-&quot;_);_(@_)"/>
    <numFmt numFmtId="191" formatCode="_(&quot;$&quot;* #,##0.00_);_(&quot;$&quot;* \(#,##0.00\);_(&quot;$&quot;* &quot;-&quot;?_);_(@_)"/>
    <numFmt numFmtId="192" formatCode="_(&quot;$&quot;* #,##0.0_);_(&quot;$&quot;* \(#,##0.0\);_(&quot;$&quot;* &quot;-&quot;??_);_(@_)"/>
    <numFmt numFmtId="193" formatCode="_(* #,##0.00_);_(* \(#,##0.00\);_(* &quot;-&quot;???_);_(@_)"/>
    <numFmt numFmtId="194" formatCode="_(* #,##0_);_(* \(#,##0\);_(* &quot;-&quot;???_);_(@_)"/>
  </numFmts>
  <fonts count="40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FF"/>
      <name val="Calibri"/>
      <family val="2"/>
      <scheme val="minor"/>
    </font>
    <font>
      <b/>
      <sz val="12"/>
      <color rgb="FFFFFFFF"/>
      <name val="Calibri"/>
      <family val="2"/>
      <scheme val="minor"/>
    </font>
    <font>
      <sz val="12"/>
      <name val="Calibri"/>
      <family val="2"/>
      <scheme val="minor"/>
    </font>
    <font>
      <sz val="12"/>
      <color rgb="FF0000FF"/>
      <name val="Calibri"/>
      <family val="2"/>
    </font>
    <font>
      <b/>
      <sz val="12"/>
      <name val="Calibri"/>
      <family val="2"/>
      <scheme val="minor"/>
    </font>
    <font>
      <b/>
      <u/>
      <sz val="12"/>
      <color theme="0"/>
      <name val="Calibri"/>
      <family val="2"/>
      <scheme val="minor"/>
    </font>
    <font>
      <b/>
      <i/>
      <sz val="12"/>
      <color theme="0"/>
      <name val="Calibri"/>
      <family val="2"/>
      <scheme val="minor"/>
    </font>
    <font>
      <i/>
      <sz val="12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name val="Calibri"/>
      <family val="2"/>
    </font>
    <font>
      <sz val="12"/>
      <color theme="4"/>
      <name val="Calibri"/>
      <family val="2"/>
      <scheme val="minor"/>
    </font>
    <font>
      <b/>
      <sz val="14"/>
      <color theme="1"/>
      <name val="Calibri"/>
      <family val="2"/>
    </font>
    <font>
      <b/>
      <sz val="11"/>
      <color theme="1"/>
      <name val="Calibri"/>
      <family val="2"/>
    </font>
    <font>
      <b/>
      <sz val="12"/>
      <color rgb="FFFFFFFF"/>
      <name val="Calibri"/>
      <family val="2"/>
    </font>
    <font>
      <sz val="12"/>
      <color rgb="FFFFFFFF"/>
      <name val="Calibri"/>
      <family val="2"/>
    </font>
    <font>
      <b/>
      <sz val="12"/>
      <color indexed="9"/>
      <name val="Calibri"/>
      <family val="2"/>
      <scheme val="minor"/>
    </font>
    <font>
      <sz val="12"/>
      <color rgb="FF00B05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2"/>
      <color rgb="FF000000"/>
      <name val="Calibri"/>
      <family val="2"/>
      <scheme val="minor"/>
    </font>
    <font>
      <i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5E7C9E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theme="0" tint="-0.14999847407452621"/>
      <name val="Calibri"/>
      <family val="2"/>
      <scheme val="minor"/>
    </font>
    <font>
      <b/>
      <sz val="12"/>
      <color rgb="FF0000FF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10"/>
      <name val="Calibri"/>
      <family val="2"/>
    </font>
    <font>
      <b/>
      <sz val="12"/>
      <color rgb="FF00B05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3" tint="0.39994506668294322"/>
        <bgColor indexed="64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rgb="FF1F4E78"/>
        <bgColor indexed="64"/>
      </patternFill>
    </fill>
    <fill>
      <patternFill patternType="solid">
        <fgColor rgb="FF113D63"/>
        <bgColor indexed="64"/>
      </patternFill>
    </fill>
    <fill>
      <patternFill patternType="solid">
        <fgColor rgb="FF5E7C9E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rgb="FFFFFFFF"/>
      </top>
      <bottom style="thin">
        <color auto="1"/>
      </bottom>
      <diagonal/>
    </border>
    <border>
      <left/>
      <right style="thin">
        <color rgb="FFFFFFFF"/>
      </right>
      <top style="thin">
        <color rgb="FFFFFFFF"/>
      </top>
      <bottom style="thin">
        <color indexed="64"/>
      </bottom>
      <diagonal/>
    </border>
    <border>
      <left/>
      <right/>
      <top style="thin">
        <color theme="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B2B2B2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auto="1"/>
      </bottom>
      <diagonal/>
    </border>
    <border>
      <left/>
      <right style="thin">
        <color theme="0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/>
      <top/>
      <bottom/>
      <diagonal/>
    </border>
    <border>
      <left/>
      <right/>
      <top/>
      <bottom style="thin">
        <color rgb="FFB2B2B2"/>
      </bottom>
      <diagonal/>
    </border>
    <border>
      <left style="thin">
        <color rgb="FFB2B2B2"/>
      </left>
      <right/>
      <top style="thin">
        <color rgb="FFB2B2B2"/>
      </top>
      <bottom style="thin">
        <color indexed="64"/>
      </bottom>
      <diagonal/>
    </border>
    <border>
      <left/>
      <right style="thin">
        <color rgb="FFB2B2B2"/>
      </right>
      <top/>
      <bottom style="thin">
        <color auto="1"/>
      </bottom>
      <diagonal/>
    </border>
  </borders>
  <cellStyleXfs count="9">
    <xf numFmtId="0" fontId="0" fillId="0" borderId="0"/>
    <xf numFmtId="0" fontId="5" fillId="0" borderId="0"/>
    <xf numFmtId="0" fontId="8" fillId="3" borderId="3" applyNumberFormat="0" applyFont="0" applyAlignment="0" applyProtection="0"/>
    <xf numFmtId="0" fontId="2" fillId="0" borderId="0"/>
    <xf numFmtId="0" fontId="5" fillId="0" borderId="0"/>
    <xf numFmtId="0" fontId="29" fillId="0" borderId="0"/>
    <xf numFmtId="0" fontId="8" fillId="0" borderId="0"/>
    <xf numFmtId="0" fontId="8" fillId="0" borderId="0"/>
    <xf numFmtId="0" fontId="37" fillId="0" borderId="0" applyNumberFormat="0" applyFill="0" applyBorder="0" applyAlignment="0" applyProtection="0"/>
  </cellStyleXfs>
  <cellXfs count="382">
    <xf numFmtId="0" fontId="0" fillId="0" borderId="0" xfId="0"/>
    <xf numFmtId="170" fontId="11" fillId="5" borderId="3" xfId="2" applyNumberFormat="1" applyFont="1" applyFill="1" applyAlignment="1">
      <alignment horizontal="center"/>
    </xf>
    <xf numFmtId="171" fontId="12" fillId="6" borderId="7" xfId="0" applyNumberFormat="1" applyFont="1" applyFill="1" applyBorder="1" applyAlignment="1">
      <alignment horizontal="center"/>
    </xf>
    <xf numFmtId="171" fontId="12" fillId="6" borderId="8" xfId="0" applyNumberFormat="1" applyFont="1" applyFill="1" applyBorder="1" applyAlignment="1">
      <alignment horizontal="center"/>
    </xf>
    <xf numFmtId="171" fontId="12" fillId="6" borderId="9" xfId="0" applyNumberFormat="1" applyFont="1" applyFill="1" applyBorder="1" applyAlignment="1">
      <alignment horizontal="center"/>
    </xf>
    <xf numFmtId="0" fontId="13" fillId="0" borderId="0" xfId="1" applyFont="1"/>
    <xf numFmtId="0" fontId="4" fillId="0" borderId="0" xfId="0" applyFont="1"/>
    <xf numFmtId="0" fontId="9" fillId="6" borderId="0" xfId="1" applyFont="1" applyFill="1"/>
    <xf numFmtId="0" fontId="9" fillId="6" borderId="2" xfId="1" applyFont="1" applyFill="1" applyBorder="1"/>
    <xf numFmtId="14" fontId="9" fillId="6" borderId="2" xfId="1" applyNumberFormat="1" applyFont="1" applyFill="1" applyBorder="1" applyAlignment="1">
      <alignment horizontal="center"/>
    </xf>
    <xf numFmtId="0" fontId="10" fillId="7" borderId="2" xfId="0" applyFont="1" applyFill="1" applyBorder="1"/>
    <xf numFmtId="164" fontId="15" fillId="0" borderId="0" xfId="1" applyNumberFormat="1" applyFont="1"/>
    <xf numFmtId="165" fontId="13" fillId="0" borderId="0" xfId="1" applyNumberFormat="1" applyFont="1"/>
    <xf numFmtId="0" fontId="13" fillId="0" borderId="0" xfId="1" applyFont="1" applyAlignment="1">
      <alignment horizontal="center"/>
    </xf>
    <xf numFmtId="0" fontId="13" fillId="0" borderId="0" xfId="1" applyFont="1" applyAlignment="1">
      <alignment horizontal="left" indent="1"/>
    </xf>
    <xf numFmtId="0" fontId="13" fillId="0" borderId="2" xfId="1" applyFont="1" applyBorder="1" applyAlignment="1">
      <alignment horizontal="left" indent="1"/>
    </xf>
    <xf numFmtId="0" fontId="13" fillId="0" borderId="2" xfId="1" applyFont="1" applyBorder="1"/>
    <xf numFmtId="0" fontId="15" fillId="0" borderId="0" xfId="1" applyFont="1"/>
    <xf numFmtId="166" fontId="13" fillId="0" borderId="0" xfId="0" applyNumberFormat="1" applyFont="1"/>
    <xf numFmtId="0" fontId="13" fillId="0" borderId="1" xfId="1" applyFont="1" applyBorder="1"/>
    <xf numFmtId="0" fontId="11" fillId="0" borderId="0" xfId="1" applyFont="1" applyAlignment="1">
      <alignment horizontal="center"/>
    </xf>
    <xf numFmtId="0" fontId="9" fillId="6" borderId="5" xfId="1" applyFont="1" applyFill="1" applyBorder="1" applyAlignment="1">
      <alignment horizontal="centerContinuous"/>
    </xf>
    <xf numFmtId="0" fontId="16" fillId="6" borderId="6" xfId="1" applyFont="1" applyFill="1" applyBorder="1" applyAlignment="1">
      <alignment horizontal="centerContinuous"/>
    </xf>
    <xf numFmtId="0" fontId="16" fillId="6" borderId="5" xfId="1" applyFont="1" applyFill="1" applyBorder="1" applyAlignment="1">
      <alignment horizontal="centerContinuous"/>
    </xf>
    <xf numFmtId="0" fontId="17" fillId="6" borderId="2" xfId="1" applyFont="1" applyFill="1" applyBorder="1" applyAlignment="1">
      <alignment horizontal="center"/>
    </xf>
    <xf numFmtId="0" fontId="18" fillId="0" borderId="0" xfId="1" applyFont="1" applyAlignment="1">
      <alignment horizontal="center"/>
    </xf>
    <xf numFmtId="0" fontId="19" fillId="0" borderId="0" xfId="0" applyFont="1" applyAlignment="1">
      <alignment horizontal="center"/>
    </xf>
    <xf numFmtId="0" fontId="18" fillId="0" borderId="0" xfId="1" applyFont="1" applyAlignment="1">
      <alignment horizontal="left" indent="1"/>
    </xf>
    <xf numFmtId="165" fontId="18" fillId="0" borderId="0" xfId="1" applyNumberFormat="1" applyFont="1"/>
    <xf numFmtId="41" fontId="13" fillId="0" borderId="0" xfId="1" applyNumberFormat="1" applyFont="1"/>
    <xf numFmtId="41" fontId="21" fillId="0" borderId="0" xfId="1" applyNumberFormat="1" applyFont="1"/>
    <xf numFmtId="0" fontId="15" fillId="2" borderId="0" xfId="1" applyFont="1" applyFill="1"/>
    <xf numFmtId="0" fontId="18" fillId="2" borderId="0" xfId="1" applyFont="1" applyFill="1" applyAlignment="1">
      <alignment horizontal="center"/>
    </xf>
    <xf numFmtId="164" fontId="13" fillId="0" borderId="0" xfId="1" applyNumberFormat="1" applyFont="1"/>
    <xf numFmtId="0" fontId="15" fillId="4" borderId="0" xfId="1" applyFont="1" applyFill="1"/>
    <xf numFmtId="0" fontId="18" fillId="4" borderId="0" xfId="1" applyFont="1" applyFill="1" applyAlignment="1">
      <alignment horizontal="center"/>
    </xf>
    <xf numFmtId="0" fontId="11" fillId="5" borderId="3" xfId="2" applyFont="1" applyFill="1" applyAlignment="1">
      <alignment horizontal="centerContinuous"/>
    </xf>
    <xf numFmtId="44" fontId="13" fillId="0" borderId="0" xfId="1" applyNumberFormat="1" applyFont="1"/>
    <xf numFmtId="165" fontId="11" fillId="5" borderId="3" xfId="2" applyNumberFormat="1" applyFont="1" applyFill="1" applyAlignment="1">
      <alignment horizontal="center"/>
    </xf>
    <xf numFmtId="0" fontId="22" fillId="0" borderId="0" xfId="0" applyFont="1"/>
    <xf numFmtId="0" fontId="23" fillId="0" borderId="0" xfId="0" applyFont="1"/>
    <xf numFmtId="9" fontId="0" fillId="0" borderId="0" xfId="0" applyNumberFormat="1"/>
    <xf numFmtId="0" fontId="24" fillId="6" borderId="2" xfId="0" applyFont="1" applyFill="1" applyBorder="1"/>
    <xf numFmtId="0" fontId="25" fillId="6" borderId="2" xfId="0" applyFont="1" applyFill="1" applyBorder="1"/>
    <xf numFmtId="0" fontId="25" fillId="0" borderId="0" xfId="0" applyFont="1"/>
    <xf numFmtId="173" fontId="11" fillId="5" borderId="4" xfId="0" applyNumberFormat="1" applyFont="1" applyFill="1" applyBorder="1" applyAlignment="1">
      <alignment horizontal="center"/>
    </xf>
    <xf numFmtId="173" fontId="14" fillId="0" borderId="0" xfId="0" applyNumberFormat="1" applyFont="1"/>
    <xf numFmtId="0" fontId="26" fillId="6" borderId="0" xfId="1" applyFont="1" applyFill="1"/>
    <xf numFmtId="0" fontId="26" fillId="6" borderId="0" xfId="1" applyFont="1" applyFill="1" applyAlignment="1">
      <alignment horizontal="center"/>
    </xf>
    <xf numFmtId="0" fontId="26" fillId="6" borderId="2" xfId="1" applyFont="1" applyFill="1" applyBorder="1"/>
    <xf numFmtId="0" fontId="26" fillId="6" borderId="2" xfId="1" applyFont="1" applyFill="1" applyBorder="1" applyAlignment="1">
      <alignment horizontal="center"/>
    </xf>
    <xf numFmtId="174" fontId="14" fillId="0" borderId="0" xfId="0" applyNumberFormat="1" applyFont="1"/>
    <xf numFmtId="175" fontId="20" fillId="0" borderId="0" xfId="0" applyNumberFormat="1" applyFont="1"/>
    <xf numFmtId="176" fontId="4" fillId="0" borderId="0" xfId="0" applyNumberFormat="1" applyFont="1"/>
    <xf numFmtId="0" fontId="15" fillId="8" borderId="10" xfId="1" applyFont="1" applyFill="1" applyBorder="1" applyAlignment="1">
      <alignment horizontal="left"/>
    </xf>
    <xf numFmtId="0" fontId="15" fillId="8" borderId="11" xfId="1" applyFont="1" applyFill="1" applyBorder="1"/>
    <xf numFmtId="174" fontId="15" fillId="8" borderId="11" xfId="1" applyNumberFormat="1" applyFont="1" applyFill="1" applyBorder="1"/>
    <xf numFmtId="175" fontId="15" fillId="8" borderId="11" xfId="1" applyNumberFormat="1" applyFont="1" applyFill="1" applyBorder="1"/>
    <xf numFmtId="43" fontId="15" fillId="8" borderId="12" xfId="1" applyNumberFormat="1" applyFont="1" applyFill="1" applyBorder="1"/>
    <xf numFmtId="0" fontId="9" fillId="9" borderId="10" xfId="1" applyFont="1" applyFill="1" applyBorder="1"/>
    <xf numFmtId="0" fontId="9" fillId="9" borderId="11" xfId="1" applyFont="1" applyFill="1" applyBorder="1"/>
    <xf numFmtId="172" fontId="27" fillId="0" borderId="1" xfId="1" applyNumberFormat="1" applyFont="1" applyBorder="1"/>
    <xf numFmtId="43" fontId="13" fillId="0" borderId="1" xfId="1" applyNumberFormat="1" applyFont="1" applyBorder="1"/>
    <xf numFmtId="172" fontId="27" fillId="0" borderId="0" xfId="1" applyNumberFormat="1" applyFont="1"/>
    <xf numFmtId="43" fontId="13" fillId="0" borderId="0" xfId="1" applyNumberFormat="1" applyFont="1"/>
    <xf numFmtId="0" fontId="9" fillId="9" borderId="13" xfId="1" applyFont="1" applyFill="1" applyBorder="1"/>
    <xf numFmtId="0" fontId="9" fillId="9" borderId="1" xfId="1" applyFont="1" applyFill="1" applyBorder="1"/>
    <xf numFmtId="177" fontId="9" fillId="9" borderId="14" xfId="1" applyNumberFormat="1" applyFont="1" applyFill="1" applyBorder="1"/>
    <xf numFmtId="0" fontId="9" fillId="9" borderId="15" xfId="1" applyFont="1" applyFill="1" applyBorder="1"/>
    <xf numFmtId="0" fontId="9" fillId="9" borderId="0" xfId="1" applyFont="1" applyFill="1"/>
    <xf numFmtId="177" fontId="9" fillId="9" borderId="16" xfId="1" applyNumberFormat="1" applyFont="1" applyFill="1" applyBorder="1"/>
    <xf numFmtId="173" fontId="9" fillId="9" borderId="14" xfId="1" applyNumberFormat="1" applyFont="1" applyFill="1" applyBorder="1"/>
    <xf numFmtId="173" fontId="9" fillId="9" borderId="16" xfId="1" applyNumberFormat="1" applyFont="1" applyFill="1" applyBorder="1"/>
    <xf numFmtId="173" fontId="9" fillId="9" borderId="12" xfId="1" applyNumberFormat="1" applyFont="1" applyFill="1" applyBorder="1"/>
    <xf numFmtId="0" fontId="11" fillId="5" borderId="3" xfId="1" applyFont="1" applyFill="1" applyBorder="1" applyAlignment="1">
      <alignment horizontal="center"/>
    </xf>
    <xf numFmtId="177" fontId="13" fillId="0" borderId="18" xfId="2" applyNumberFormat="1" applyFont="1" applyFill="1" applyBorder="1" applyAlignment="1"/>
    <xf numFmtId="177" fontId="13" fillId="0" borderId="0" xfId="2" applyNumberFormat="1" applyFont="1" applyFill="1" applyBorder="1" applyAlignment="1"/>
    <xf numFmtId="178" fontId="13" fillId="0" borderId="0" xfId="1" applyNumberFormat="1" applyFont="1"/>
    <xf numFmtId="168" fontId="11" fillId="0" borderId="0" xfId="0" applyNumberFormat="1" applyFont="1" applyAlignment="1">
      <alignment horizontal="center"/>
    </xf>
    <xf numFmtId="169" fontId="13" fillId="0" borderId="0" xfId="1" applyNumberFormat="1" applyFont="1"/>
    <xf numFmtId="164" fontId="10" fillId="0" borderId="0" xfId="0" applyNumberFormat="1" applyFont="1"/>
    <xf numFmtId="166" fontId="15" fillId="0" borderId="0" xfId="1" applyNumberFormat="1" applyFont="1"/>
    <xf numFmtId="0" fontId="15" fillId="7" borderId="0" xfId="1" applyFont="1" applyFill="1"/>
    <xf numFmtId="0" fontId="13" fillId="7" borderId="0" xfId="1" applyFont="1" applyFill="1"/>
    <xf numFmtId="0" fontId="15" fillId="0" borderId="1" xfId="1" applyFont="1" applyBorder="1"/>
    <xf numFmtId="0" fontId="28" fillId="0" borderId="0" xfId="0" applyFont="1"/>
    <xf numFmtId="0" fontId="3" fillId="0" borderId="0" xfId="0" applyFont="1"/>
    <xf numFmtId="0" fontId="3" fillId="7" borderId="2" xfId="0" applyFont="1" applyFill="1" applyBorder="1"/>
    <xf numFmtId="167" fontId="11" fillId="5" borderId="4" xfId="0" applyNumberFormat="1" applyFont="1" applyFill="1" applyBorder="1" applyAlignment="1">
      <alignment horizontal="center"/>
    </xf>
    <xf numFmtId="168" fontId="11" fillId="5" borderId="4" xfId="0" applyNumberFormat="1" applyFont="1" applyFill="1" applyBorder="1" applyAlignment="1">
      <alignment horizontal="center"/>
    </xf>
    <xf numFmtId="164" fontId="3" fillId="0" borderId="0" xfId="0" applyNumberFormat="1" applyFont="1"/>
    <xf numFmtId="166" fontId="3" fillId="0" borderId="0" xfId="0" applyNumberFormat="1" applyFont="1"/>
    <xf numFmtId="179" fontId="11" fillId="0" borderId="0" xfId="1" applyNumberFormat="1" applyFont="1"/>
    <xf numFmtId="179" fontId="13" fillId="0" borderId="0" xfId="1" applyNumberFormat="1" applyFont="1"/>
    <xf numFmtId="168" fontId="11" fillId="5" borderId="19" xfId="0" applyNumberFormat="1" applyFont="1" applyFill="1" applyBorder="1" applyAlignment="1">
      <alignment horizontal="center"/>
    </xf>
    <xf numFmtId="165" fontId="15" fillId="0" borderId="0" xfId="1" applyNumberFormat="1" applyFont="1" applyAlignment="1">
      <alignment horizontal="center"/>
    </xf>
    <xf numFmtId="167" fontId="11" fillId="5" borderId="19" xfId="0" applyNumberFormat="1" applyFont="1" applyFill="1" applyBorder="1" applyAlignment="1">
      <alignment horizontal="center"/>
    </xf>
    <xf numFmtId="169" fontId="15" fillId="0" borderId="0" xfId="1" applyNumberFormat="1" applyFont="1" applyAlignment="1">
      <alignment horizontal="center"/>
    </xf>
    <xf numFmtId="3" fontId="13" fillId="0" borderId="0" xfId="1" applyNumberFormat="1" applyFont="1"/>
    <xf numFmtId="165" fontId="11" fillId="0" borderId="0" xfId="1" applyNumberFormat="1" applyFont="1"/>
    <xf numFmtId="180" fontId="11" fillId="0" borderId="0" xfId="1" applyNumberFormat="1" applyFont="1"/>
    <xf numFmtId="180" fontId="13" fillId="0" borderId="0" xfId="1" applyNumberFormat="1" applyFont="1"/>
    <xf numFmtId="180" fontId="15" fillId="0" borderId="0" xfId="1" applyNumberFormat="1" applyFont="1"/>
    <xf numFmtId="181" fontId="15" fillId="4" borderId="0" xfId="1" applyNumberFormat="1" applyFont="1" applyFill="1"/>
    <xf numFmtId="181" fontId="3" fillId="0" borderId="0" xfId="0" applyNumberFormat="1" applyFont="1"/>
    <xf numFmtId="180" fontId="3" fillId="0" borderId="0" xfId="0" applyNumberFormat="1" applyFont="1"/>
    <xf numFmtId="180" fontId="3" fillId="0" borderId="2" xfId="0" applyNumberFormat="1" applyFont="1" applyBorder="1"/>
    <xf numFmtId="182" fontId="3" fillId="0" borderId="0" xfId="0" applyNumberFormat="1" applyFont="1"/>
    <xf numFmtId="169" fontId="13" fillId="0" borderId="0" xfId="1" applyNumberFormat="1" applyFont="1" applyAlignment="1">
      <alignment horizontal="center"/>
    </xf>
    <xf numFmtId="165" fontId="13" fillId="0" borderId="0" xfId="1" applyNumberFormat="1" applyFont="1" applyAlignment="1">
      <alignment horizontal="center"/>
    </xf>
    <xf numFmtId="0" fontId="26" fillId="6" borderId="0" xfId="1" applyFont="1" applyFill="1" applyAlignment="1">
      <alignment horizontal="centerContinuous"/>
    </xf>
    <xf numFmtId="181" fontId="14" fillId="0" borderId="0" xfId="0" applyNumberFormat="1" applyFont="1"/>
    <xf numFmtId="180" fontId="14" fillId="0" borderId="0" xfId="0" applyNumberFormat="1" applyFont="1"/>
    <xf numFmtId="181" fontId="15" fillId="8" borderId="11" xfId="1" applyNumberFormat="1" applyFont="1" applyFill="1" applyBorder="1"/>
    <xf numFmtId="175" fontId="11" fillId="0" borderId="0" xfId="0" applyNumberFormat="1" applyFont="1" applyAlignment="1">
      <alignment vertical="top" wrapText="1"/>
    </xf>
    <xf numFmtId="175" fontId="13" fillId="0" borderId="0" xfId="0" applyNumberFormat="1" applyFont="1" applyAlignment="1">
      <alignment vertical="top" wrapText="1"/>
    </xf>
    <xf numFmtId="0" fontId="2" fillId="0" borderId="0" xfId="0" applyFont="1"/>
    <xf numFmtId="173" fontId="13" fillId="5" borderId="4" xfId="0" applyNumberFormat="1" applyFont="1" applyFill="1" applyBorder="1" applyAlignment="1">
      <alignment horizontal="center"/>
    </xf>
    <xf numFmtId="183" fontId="13" fillId="0" borderId="0" xfId="2" applyNumberFormat="1" applyFont="1" applyFill="1" applyBorder="1" applyAlignment="1"/>
    <xf numFmtId="167" fontId="27" fillId="0" borderId="0" xfId="0" applyNumberFormat="1" applyFont="1" applyAlignment="1">
      <alignment horizontal="center"/>
    </xf>
    <xf numFmtId="0" fontId="13" fillId="5" borderId="3" xfId="2" applyFont="1" applyFill="1" applyAlignment="1">
      <alignment horizontal="center"/>
    </xf>
    <xf numFmtId="41" fontId="10" fillId="7" borderId="0" xfId="0" applyNumberFormat="1" applyFont="1" applyFill="1"/>
    <xf numFmtId="42" fontId="15" fillId="0" borderId="0" xfId="1" applyNumberFormat="1" applyFont="1"/>
    <xf numFmtId="41" fontId="15" fillId="2" borderId="0" xfId="1" applyNumberFormat="1" applyFont="1" applyFill="1"/>
    <xf numFmtId="44" fontId="13" fillId="0" borderId="0" xfId="0" applyNumberFormat="1" applyFont="1"/>
    <xf numFmtId="44" fontId="11" fillId="0" borderId="0" xfId="0" applyNumberFormat="1" applyFont="1"/>
    <xf numFmtId="0" fontId="18" fillId="0" borderId="2" xfId="1" applyFont="1" applyBorder="1" applyAlignment="1">
      <alignment horizontal="center"/>
    </xf>
    <xf numFmtId="42" fontId="15" fillId="0" borderId="1" xfId="1" applyNumberFormat="1" applyFont="1" applyBorder="1"/>
    <xf numFmtId="37" fontId="11" fillId="5" borderId="3" xfId="0" applyNumberFormat="1" applyFont="1" applyFill="1" applyBorder="1" applyAlignment="1">
      <alignment horizontal="center"/>
    </xf>
    <xf numFmtId="42" fontId="13" fillId="0" borderId="0" xfId="1" applyNumberFormat="1" applyFont="1"/>
    <xf numFmtId="0" fontId="10" fillId="0" borderId="1" xfId="0" applyFont="1" applyBorder="1"/>
    <xf numFmtId="0" fontId="3" fillId="0" borderId="1" xfId="0" applyFont="1" applyBorder="1"/>
    <xf numFmtId="182" fontId="11" fillId="0" borderId="0" xfId="0" applyNumberFormat="1" applyFont="1"/>
    <xf numFmtId="9" fontId="11" fillId="0" borderId="0" xfId="1" applyNumberFormat="1" applyFont="1"/>
    <xf numFmtId="182" fontId="13" fillId="0" borderId="0" xfId="0" applyNumberFormat="1" applyFont="1"/>
    <xf numFmtId="182" fontId="13" fillId="0" borderId="0" xfId="1" applyNumberFormat="1" applyFont="1"/>
    <xf numFmtId="0" fontId="18" fillId="0" borderId="0" xfId="1" applyFont="1" applyAlignment="1">
      <alignment horizontal="left" indent="2"/>
    </xf>
    <xf numFmtId="165" fontId="13" fillId="5" borderId="3" xfId="2" applyNumberFormat="1" applyFont="1" applyFill="1" applyAlignment="1">
      <alignment horizontal="center"/>
    </xf>
    <xf numFmtId="165" fontId="18" fillId="0" borderId="0" xfId="2" applyNumberFormat="1" applyFont="1" applyFill="1" applyBorder="1" applyAlignment="1">
      <alignment horizontal="center"/>
    </xf>
    <xf numFmtId="0" fontId="26" fillId="6" borderId="20" xfId="1" applyFont="1" applyFill="1" applyBorder="1" applyAlignment="1">
      <alignment horizontal="centerContinuous"/>
    </xf>
    <xf numFmtId="179" fontId="11" fillId="0" borderId="0" xfId="1" applyNumberFormat="1" applyFont="1" applyAlignment="1">
      <alignment horizontal="center"/>
    </xf>
    <xf numFmtId="180" fontId="20" fillId="0" borderId="0" xfId="0" applyNumberFormat="1" applyFont="1"/>
    <xf numFmtId="181" fontId="20" fillId="0" borderId="0" xfId="0" applyNumberFormat="1" applyFont="1"/>
    <xf numFmtId="43" fontId="11" fillId="0" borderId="0" xfId="0" applyNumberFormat="1" applyFont="1"/>
    <xf numFmtId="164" fontId="14" fillId="0" borderId="0" xfId="0" applyNumberFormat="1" applyFont="1"/>
    <xf numFmtId="166" fontId="11" fillId="0" borderId="0" xfId="1" applyNumberFormat="1" applyFont="1" applyAlignment="1">
      <alignment horizontal="center"/>
    </xf>
    <xf numFmtId="167" fontId="11" fillId="0" borderId="0" xfId="0" applyNumberFormat="1" applyFont="1"/>
    <xf numFmtId="44" fontId="15" fillId="8" borderId="10" xfId="1" applyNumberFormat="1" applyFont="1" applyFill="1" applyBorder="1"/>
    <xf numFmtId="184" fontId="15" fillId="8" borderId="11" xfId="1" applyNumberFormat="1" applyFont="1" applyFill="1" applyBorder="1" applyAlignment="1">
      <alignment horizontal="center"/>
    </xf>
    <xf numFmtId="179" fontId="13" fillId="0" borderId="0" xfId="1" applyNumberFormat="1" applyFont="1" applyAlignment="1">
      <alignment horizontal="center"/>
    </xf>
    <xf numFmtId="43" fontId="13" fillId="0" borderId="0" xfId="0" applyNumberFormat="1" applyFont="1"/>
    <xf numFmtId="43" fontId="0" fillId="0" borderId="0" xfId="0" applyNumberFormat="1"/>
    <xf numFmtId="175" fontId="15" fillId="8" borderId="12" xfId="1" applyNumberFormat="1" applyFont="1" applyFill="1" applyBorder="1"/>
    <xf numFmtId="175" fontId="15" fillId="8" borderId="10" xfId="1" applyNumberFormat="1" applyFont="1" applyFill="1" applyBorder="1"/>
    <xf numFmtId="167" fontId="15" fillId="4" borderId="11" xfId="0" applyNumberFormat="1" applyFont="1" applyFill="1" applyBorder="1"/>
    <xf numFmtId="167" fontId="15" fillId="4" borderId="12" xfId="0" applyNumberFormat="1" applyFont="1" applyFill="1" applyBorder="1"/>
    <xf numFmtId="0" fontId="2" fillId="0" borderId="0" xfId="0" applyFont="1" applyAlignment="1">
      <alignment horizontal="left" indent="1"/>
    </xf>
    <xf numFmtId="0" fontId="10" fillId="0" borderId="0" xfId="0" applyFont="1"/>
    <xf numFmtId="0" fontId="4" fillId="0" borderId="1" xfId="0" applyFont="1" applyBorder="1"/>
    <xf numFmtId="0" fontId="24" fillId="6" borderId="2" xfId="0" applyFont="1" applyFill="1" applyBorder="1" applyAlignment="1">
      <alignment horizontal="center"/>
    </xf>
    <xf numFmtId="181" fontId="10" fillId="0" borderId="1" xfId="0" applyNumberFormat="1" applyFont="1" applyBorder="1"/>
    <xf numFmtId="0" fontId="28" fillId="0" borderId="0" xfId="3" applyFont="1"/>
    <xf numFmtId="2" fontId="2" fillId="0" borderId="0" xfId="0" applyNumberFormat="1" applyFont="1"/>
    <xf numFmtId="0" fontId="9" fillId="11" borderId="2" xfId="0" applyFont="1" applyFill="1" applyBorder="1"/>
    <xf numFmtId="0" fontId="17" fillId="11" borderId="2" xfId="0" applyFont="1" applyFill="1" applyBorder="1" applyAlignment="1">
      <alignment horizontal="center"/>
    </xf>
    <xf numFmtId="15" fontId="2" fillId="0" borderId="0" xfId="0" applyNumberFormat="1" applyFont="1"/>
    <xf numFmtId="3" fontId="2" fillId="0" borderId="0" xfId="0" applyNumberFormat="1" applyFont="1"/>
    <xf numFmtId="0" fontId="2" fillId="0" borderId="0" xfId="0" applyFont="1" applyAlignment="1">
      <alignment horizontal="left"/>
    </xf>
    <xf numFmtId="172" fontId="11" fillId="5" borderId="3" xfId="0" applyNumberFormat="1" applyFont="1" applyFill="1" applyBorder="1" applyAlignment="1">
      <alignment horizontal="center"/>
    </xf>
    <xf numFmtId="172" fontId="11" fillId="0" borderId="0" xfId="0" applyNumberFormat="1" applyFont="1" applyAlignment="1">
      <alignment horizontal="center"/>
    </xf>
    <xf numFmtId="165" fontId="11" fillId="0" borderId="0" xfId="0" applyNumberFormat="1" applyFont="1" applyAlignment="1">
      <alignment horizontal="center"/>
    </xf>
    <xf numFmtId="165" fontId="11" fillId="5" borderId="3" xfId="0" applyNumberFormat="1" applyFont="1" applyFill="1" applyBorder="1" applyAlignment="1">
      <alignment horizontal="center"/>
    </xf>
    <xf numFmtId="0" fontId="10" fillId="7" borderId="2" xfId="5" applyFont="1" applyFill="1" applyBorder="1"/>
    <xf numFmtId="0" fontId="2" fillId="7" borderId="2" xfId="5" applyFont="1" applyFill="1" applyBorder="1"/>
    <xf numFmtId="41" fontId="27" fillId="0" borderId="0" xfId="0" applyNumberFormat="1" applyFont="1"/>
    <xf numFmtId="41" fontId="2" fillId="0" borderId="0" xfId="0" applyNumberFormat="1" applyFont="1"/>
    <xf numFmtId="0" fontId="2" fillId="0" borderId="2" xfId="0" applyFont="1" applyBorder="1" applyAlignment="1">
      <alignment horizontal="left" indent="1"/>
    </xf>
    <xf numFmtId="0" fontId="15" fillId="7" borderId="1" xfId="4" applyFont="1" applyFill="1" applyBorder="1"/>
    <xf numFmtId="0" fontId="18" fillId="7" borderId="1" xfId="4" applyFont="1" applyFill="1" applyBorder="1" applyAlignment="1">
      <alignment horizontal="center"/>
    </xf>
    <xf numFmtId="41" fontId="30" fillId="7" borderId="1" xfId="5" applyNumberFormat="1" applyFont="1" applyFill="1" applyBorder="1"/>
    <xf numFmtId="41" fontId="13" fillId="5" borderId="3" xfId="0" applyNumberFormat="1" applyFont="1" applyFill="1" applyBorder="1" applyAlignment="1">
      <alignment horizontal="center"/>
    </xf>
    <xf numFmtId="0" fontId="19" fillId="0" borderId="2" xfId="0" applyFont="1" applyBorder="1" applyAlignment="1">
      <alignment horizontal="center"/>
    </xf>
    <xf numFmtId="0" fontId="18" fillId="7" borderId="0" xfId="4" applyFont="1" applyFill="1" applyAlignment="1">
      <alignment horizontal="center"/>
    </xf>
    <xf numFmtId="0" fontId="9" fillId="11" borderId="0" xfId="0" applyFont="1" applyFill="1"/>
    <xf numFmtId="0" fontId="9" fillId="11" borderId="0" xfId="0" applyFont="1" applyFill="1" applyAlignment="1">
      <alignment horizontal="center"/>
    </xf>
    <xf numFmtId="0" fontId="10" fillId="0" borderId="0" xfId="0" applyFont="1" applyAlignment="1">
      <alignment horizontal="left"/>
    </xf>
    <xf numFmtId="42" fontId="27" fillId="0" borderId="0" xfId="0" applyNumberFormat="1" applyFont="1"/>
    <xf numFmtId="0" fontId="10" fillId="0" borderId="1" xfId="0" applyFont="1" applyBorder="1" applyAlignment="1">
      <alignment horizontal="left"/>
    </xf>
    <xf numFmtId="41" fontId="10" fillId="0" borderId="1" xfId="0" applyNumberFormat="1" applyFont="1" applyBorder="1"/>
    <xf numFmtId="0" fontId="19" fillId="0" borderId="0" xfId="0" applyFont="1"/>
    <xf numFmtId="0" fontId="19" fillId="0" borderId="0" xfId="0" applyFont="1" applyAlignment="1">
      <alignment horizontal="left" indent="1"/>
    </xf>
    <xf numFmtId="165" fontId="19" fillId="0" borderId="0" xfId="0" applyNumberFormat="1" applyFont="1"/>
    <xf numFmtId="41" fontId="10" fillId="0" borderId="0" xfId="0" applyNumberFormat="1" applyFont="1"/>
    <xf numFmtId="41" fontId="2" fillId="0" borderId="2" xfId="0" applyNumberFormat="1" applyFont="1" applyBorder="1"/>
    <xf numFmtId="180" fontId="15" fillId="0" borderId="0" xfId="4" applyNumberFormat="1" applyFont="1"/>
    <xf numFmtId="0" fontId="2" fillId="0" borderId="0" xfId="0" applyFont="1" applyAlignment="1">
      <alignment horizontal="left" indent="2"/>
    </xf>
    <xf numFmtId="165" fontId="2" fillId="0" borderId="0" xfId="0" applyNumberFormat="1" applyFont="1"/>
    <xf numFmtId="186" fontId="2" fillId="0" borderId="0" xfId="0" applyNumberFormat="1" applyFont="1"/>
    <xf numFmtId="42" fontId="10" fillId="0" borderId="0" xfId="0" applyNumberFormat="1" applyFont="1"/>
    <xf numFmtId="0" fontId="9" fillId="10" borderId="2" xfId="0" applyFont="1" applyFill="1" applyBorder="1"/>
    <xf numFmtId="0" fontId="17" fillId="10" borderId="2" xfId="0" applyFont="1" applyFill="1" applyBorder="1"/>
    <xf numFmtId="0" fontId="31" fillId="10" borderId="2" xfId="0" applyFont="1" applyFill="1" applyBorder="1"/>
    <xf numFmtId="0" fontId="32" fillId="10" borderId="2" xfId="0" applyFont="1" applyFill="1" applyBorder="1"/>
    <xf numFmtId="0" fontId="32" fillId="12" borderId="13" xfId="0" applyFont="1" applyFill="1" applyBorder="1"/>
    <xf numFmtId="0" fontId="32" fillId="12" borderId="11" xfId="0" applyFont="1" applyFill="1" applyBorder="1"/>
    <xf numFmtId="0" fontId="9" fillId="12" borderId="11" xfId="0" applyFont="1" applyFill="1" applyBorder="1" applyAlignment="1">
      <alignment horizontal="centerContinuous"/>
    </xf>
    <xf numFmtId="0" fontId="9" fillId="12" borderId="12" xfId="0" applyFont="1" applyFill="1" applyBorder="1" applyAlignment="1">
      <alignment horizontal="centerContinuous"/>
    </xf>
    <xf numFmtId="0" fontId="32" fillId="12" borderId="15" xfId="0" applyFont="1" applyFill="1" applyBorder="1"/>
    <xf numFmtId="165" fontId="33" fillId="13" borderId="15" xfId="0" applyNumberFormat="1" applyFont="1" applyFill="1" applyBorder="1"/>
    <xf numFmtId="175" fontId="9" fillId="13" borderId="0" xfId="0" applyNumberFormat="1" applyFont="1" applyFill="1" applyAlignment="1">
      <alignment horizontal="center"/>
    </xf>
    <xf numFmtId="175" fontId="9" fillId="13" borderId="2" xfId="0" applyNumberFormat="1" applyFont="1" applyFill="1" applyBorder="1" applyAlignment="1">
      <alignment horizontal="center"/>
    </xf>
    <xf numFmtId="165" fontId="21" fillId="13" borderId="15" xfId="0" applyNumberFormat="1" applyFont="1" applyFill="1" applyBorder="1"/>
    <xf numFmtId="0" fontId="9" fillId="12" borderId="23" xfId="0" applyFont="1" applyFill="1" applyBorder="1" applyAlignment="1">
      <alignment horizontal="center" vertical="center" wrapText="1"/>
    </xf>
    <xf numFmtId="165" fontId="33" fillId="13" borderId="23" xfId="0" applyNumberFormat="1" applyFont="1" applyFill="1" applyBorder="1"/>
    <xf numFmtId="178" fontId="11" fillId="0" borderId="0" xfId="0" applyNumberFormat="1" applyFont="1"/>
    <xf numFmtId="179" fontId="11" fillId="5" borderId="3" xfId="1" applyNumberFormat="1" applyFont="1" applyFill="1" applyBorder="1" applyAlignment="1">
      <alignment horizontal="center"/>
    </xf>
    <xf numFmtId="3" fontId="34" fillId="5" borderId="3" xfId="1" applyNumberFormat="1" applyFont="1" applyFill="1" applyBorder="1" applyAlignment="1">
      <alignment horizontal="center"/>
    </xf>
    <xf numFmtId="179" fontId="27" fillId="0" borderId="0" xfId="1" applyNumberFormat="1" applyFont="1"/>
    <xf numFmtId="165" fontId="13" fillId="0" borderId="0" xfId="2" applyNumberFormat="1" applyFont="1" applyFill="1" applyBorder="1" applyAlignment="1">
      <alignment horizontal="center"/>
    </xf>
    <xf numFmtId="165" fontId="27" fillId="0" borderId="0" xfId="2" applyNumberFormat="1" applyFont="1" applyFill="1" applyBorder="1" applyAlignment="1">
      <alignment horizontal="center"/>
    </xf>
    <xf numFmtId="42" fontId="13" fillId="0" borderId="0" xfId="0" applyNumberFormat="1" applyFont="1"/>
    <xf numFmtId="41" fontId="11" fillId="0" borderId="0" xfId="0" applyNumberFormat="1" applyFont="1"/>
    <xf numFmtId="177" fontId="27" fillId="5" borderId="3" xfId="1" applyNumberFormat="1" applyFont="1" applyFill="1" applyBorder="1" applyAlignment="1">
      <alignment horizontal="center"/>
    </xf>
    <xf numFmtId="0" fontId="10" fillId="7" borderId="0" xfId="5" applyFont="1" applyFill="1"/>
    <xf numFmtId="0" fontId="10" fillId="7" borderId="2" xfId="5" applyFont="1" applyFill="1" applyBorder="1" applyAlignment="1">
      <alignment horizontal="center"/>
    </xf>
    <xf numFmtId="0" fontId="10" fillId="7" borderId="0" xfId="5" applyFont="1" applyFill="1" applyAlignment="1">
      <alignment horizontal="center"/>
    </xf>
    <xf numFmtId="44" fontId="27" fillId="0" borderId="0" xfId="0" applyNumberFormat="1" applyFont="1"/>
    <xf numFmtId="165" fontId="27" fillId="0" borderId="0" xfId="1" applyNumberFormat="1" applyFont="1" applyAlignment="1">
      <alignment horizontal="center"/>
    </xf>
    <xf numFmtId="179" fontId="27" fillId="0" borderId="0" xfId="1" applyNumberFormat="1" applyFont="1" applyAlignment="1">
      <alignment horizontal="center"/>
    </xf>
    <xf numFmtId="3" fontId="27" fillId="0" borderId="0" xfId="0" applyNumberFormat="1" applyFont="1"/>
    <xf numFmtId="0" fontId="13" fillId="10" borderId="13" xfId="1" applyFont="1" applyFill="1" applyBorder="1"/>
    <xf numFmtId="0" fontId="13" fillId="10" borderId="11" xfId="1" applyFont="1" applyFill="1" applyBorder="1"/>
    <xf numFmtId="0" fontId="9" fillId="10" borderId="11" xfId="1" applyFont="1" applyFill="1" applyBorder="1" applyAlignment="1">
      <alignment horizontal="centerContinuous"/>
    </xf>
    <xf numFmtId="0" fontId="13" fillId="10" borderId="22" xfId="1" applyFont="1" applyFill="1" applyBorder="1"/>
    <xf numFmtId="165" fontId="35" fillId="7" borderId="0" xfId="1" applyNumberFormat="1" applyFont="1" applyFill="1"/>
    <xf numFmtId="165" fontId="11" fillId="7" borderId="11" xfId="1" applyNumberFormat="1" applyFont="1" applyFill="1" applyBorder="1" applyAlignment="1">
      <alignment horizontal="center"/>
    </xf>
    <xf numFmtId="165" fontId="13" fillId="7" borderId="23" xfId="1" applyNumberFormat="1" applyFont="1" applyFill="1" applyBorder="1" applyAlignment="1">
      <alignment horizontal="center"/>
    </xf>
    <xf numFmtId="165" fontId="13" fillId="7" borderId="16" xfId="1" applyNumberFormat="1" applyFont="1" applyFill="1" applyBorder="1" applyAlignment="1">
      <alignment horizontal="center"/>
    </xf>
    <xf numFmtId="0" fontId="9" fillId="10" borderId="12" xfId="1" applyFont="1" applyFill="1" applyBorder="1" applyAlignment="1">
      <alignment horizontal="centerContinuous"/>
    </xf>
    <xf numFmtId="165" fontId="11" fillId="7" borderId="12" xfId="1" applyNumberFormat="1" applyFont="1" applyFill="1" applyBorder="1" applyAlignment="1">
      <alignment horizontal="center"/>
    </xf>
    <xf numFmtId="177" fontId="11" fillId="5" borderId="3" xfId="1" applyNumberFormat="1" applyFont="1" applyFill="1" applyBorder="1" applyAlignment="1">
      <alignment horizontal="center"/>
    </xf>
    <xf numFmtId="177" fontId="13" fillId="5" borderId="3" xfId="1" applyNumberFormat="1" applyFont="1" applyFill="1" applyBorder="1" applyAlignment="1">
      <alignment horizontal="center"/>
    </xf>
    <xf numFmtId="182" fontId="34" fillId="0" borderId="0" xfId="2" applyNumberFormat="1" applyFont="1" applyFill="1" applyBorder="1"/>
    <xf numFmtId="188" fontId="34" fillId="0" borderId="0" xfId="2" applyNumberFormat="1" applyFont="1" applyFill="1" applyBorder="1"/>
    <xf numFmtId="188" fontId="30" fillId="0" borderId="0" xfId="2" applyNumberFormat="1" applyFont="1" applyFill="1" applyBorder="1"/>
    <xf numFmtId="177" fontId="27" fillId="0" borderId="0" xfId="1" applyNumberFormat="1" applyFont="1" applyAlignment="1">
      <alignment horizontal="center"/>
    </xf>
    <xf numFmtId="0" fontId="13" fillId="0" borderId="0" xfId="1" applyFont="1" applyAlignment="1">
      <alignment horizontal="left"/>
    </xf>
    <xf numFmtId="165" fontId="36" fillId="7" borderId="16" xfId="1" applyNumberFormat="1" applyFont="1" applyFill="1" applyBorder="1" applyAlignment="1">
      <alignment horizontal="center"/>
    </xf>
    <xf numFmtId="188" fontId="2" fillId="0" borderId="0" xfId="0" applyNumberFormat="1" applyFont="1"/>
    <xf numFmtId="182" fontId="2" fillId="0" borderId="0" xfId="0" applyNumberFormat="1" applyFont="1"/>
    <xf numFmtId="188" fontId="10" fillId="0" borderId="0" xfId="0" applyNumberFormat="1" applyFont="1"/>
    <xf numFmtId="189" fontId="13" fillId="0" borderId="0" xfId="1" applyNumberFormat="1" applyFont="1"/>
    <xf numFmtId="44" fontId="3" fillId="0" borderId="0" xfId="0" applyNumberFormat="1" applyFont="1"/>
    <xf numFmtId="43" fontId="3" fillId="0" borderId="0" xfId="0" applyNumberFormat="1" applyFont="1"/>
    <xf numFmtId="3" fontId="11" fillId="0" borderId="0" xfId="1" applyNumberFormat="1" applyFont="1"/>
    <xf numFmtId="3" fontId="3" fillId="0" borderId="0" xfId="0" applyNumberFormat="1" applyFont="1"/>
    <xf numFmtId="44" fontId="11" fillId="5" borderId="3" xfId="0" applyNumberFormat="1" applyFont="1" applyFill="1" applyBorder="1" applyAlignment="1">
      <alignment horizontal="center"/>
    </xf>
    <xf numFmtId="164" fontId="20" fillId="0" borderId="0" xfId="0" applyNumberFormat="1" applyFont="1"/>
    <xf numFmtId="37" fontId="15" fillId="8" borderId="10" xfId="1" applyNumberFormat="1" applyFont="1" applyFill="1" applyBorder="1"/>
    <xf numFmtId="166" fontId="13" fillId="0" borderId="0" xfId="1" applyNumberFormat="1" applyFont="1" applyAlignment="1">
      <alignment horizontal="center"/>
    </xf>
    <xf numFmtId="164" fontId="15" fillId="8" borderId="11" xfId="1" applyNumberFormat="1" applyFont="1" applyFill="1" applyBorder="1"/>
    <xf numFmtId="41" fontId="14" fillId="0" borderId="0" xfId="0" applyNumberFormat="1" applyFont="1"/>
    <xf numFmtId="42" fontId="14" fillId="0" borderId="0" xfId="0" applyNumberFormat="1" applyFont="1"/>
    <xf numFmtId="41" fontId="20" fillId="0" borderId="0" xfId="0" applyNumberFormat="1" applyFont="1"/>
    <xf numFmtId="166" fontId="20" fillId="0" borderId="0" xfId="0" applyNumberFormat="1" applyFont="1"/>
    <xf numFmtId="180" fontId="11" fillId="0" borderId="0" xfId="1" applyNumberFormat="1" applyFont="1" applyAlignment="1">
      <alignment horizontal="center"/>
    </xf>
    <xf numFmtId="164" fontId="13" fillId="0" borderId="0" xfId="1" applyNumberFormat="1" applyFont="1" applyAlignment="1">
      <alignment horizontal="center"/>
    </xf>
    <xf numFmtId="164" fontId="15" fillId="8" borderId="11" xfId="1" applyNumberFormat="1" applyFont="1" applyFill="1" applyBorder="1" applyAlignment="1">
      <alignment horizontal="center"/>
    </xf>
    <xf numFmtId="164" fontId="11" fillId="0" borderId="0" xfId="1" applyNumberFormat="1" applyFont="1" applyAlignment="1">
      <alignment horizontal="center"/>
    </xf>
    <xf numFmtId="174" fontId="27" fillId="0" borderId="1" xfId="1" applyNumberFormat="1" applyFont="1" applyBorder="1"/>
    <xf numFmtId="174" fontId="27" fillId="0" borderId="0" xfId="1" applyNumberFormat="1" applyFont="1"/>
    <xf numFmtId="175" fontId="27" fillId="0" borderId="1" xfId="1" applyNumberFormat="1" applyFont="1" applyBorder="1"/>
    <xf numFmtId="175" fontId="27" fillId="0" borderId="0" xfId="1" applyNumberFormat="1" applyFont="1"/>
    <xf numFmtId="9" fontId="3" fillId="0" borderId="0" xfId="0" applyNumberFormat="1" applyFont="1"/>
    <xf numFmtId="165" fontId="11" fillId="0" borderId="0" xfId="2" applyNumberFormat="1" applyFont="1" applyFill="1" applyBorder="1" applyAlignment="1">
      <alignment horizontal="center"/>
    </xf>
    <xf numFmtId="165" fontId="27" fillId="5" borderId="3" xfId="2" applyNumberFormat="1" applyFont="1" applyFill="1" applyAlignment="1">
      <alignment horizontal="center"/>
    </xf>
    <xf numFmtId="165" fontId="27" fillId="0" borderId="24" xfId="2" applyNumberFormat="1" applyFont="1" applyFill="1" applyBorder="1" applyAlignment="1">
      <alignment horizontal="center"/>
    </xf>
    <xf numFmtId="165" fontId="13" fillId="0" borderId="25" xfId="2" applyNumberFormat="1" applyFont="1" applyFill="1" applyBorder="1" applyAlignment="1">
      <alignment horizontal="center"/>
    </xf>
    <xf numFmtId="165" fontId="11" fillId="0" borderId="18" xfId="2" applyNumberFormat="1" applyFont="1" applyFill="1" applyBorder="1" applyAlignment="1">
      <alignment horizontal="center"/>
    </xf>
    <xf numFmtId="0" fontId="2" fillId="0" borderId="18" xfId="0" applyFont="1" applyBorder="1"/>
    <xf numFmtId="3" fontId="27" fillId="0" borderId="0" xfId="0" applyNumberFormat="1" applyFont="1" applyAlignment="1">
      <alignment horizontal="center"/>
    </xf>
    <xf numFmtId="3" fontId="11" fillId="0" borderId="0" xfId="0" applyNumberFormat="1" applyFont="1" applyAlignment="1">
      <alignment horizontal="center"/>
    </xf>
    <xf numFmtId="190" fontId="27" fillId="0" borderId="0" xfId="0" applyNumberFormat="1" applyFont="1"/>
    <xf numFmtId="41" fontId="13" fillId="0" borderId="0" xfId="0" applyNumberFormat="1" applyFont="1"/>
    <xf numFmtId="0" fontId="10" fillId="7" borderId="0" xfId="5" applyFont="1" applyFill="1" applyAlignment="1">
      <alignment horizontal="centerContinuous"/>
    </xf>
    <xf numFmtId="0" fontId="10" fillId="7" borderId="16" xfId="5" applyFont="1" applyFill="1" applyBorder="1" applyAlignment="1">
      <alignment horizontal="centerContinuous"/>
    </xf>
    <xf numFmtId="0" fontId="10" fillId="7" borderId="16" xfId="5" applyFont="1" applyFill="1" applyBorder="1"/>
    <xf numFmtId="0" fontId="10" fillId="7" borderId="17" xfId="5" applyFont="1" applyFill="1" applyBorder="1" applyAlignment="1">
      <alignment horizontal="center"/>
    </xf>
    <xf numFmtId="0" fontId="13" fillId="10" borderId="22" xfId="1" applyFont="1" applyFill="1" applyBorder="1" applyAlignment="1">
      <alignment wrapText="1"/>
    </xf>
    <xf numFmtId="0" fontId="10" fillId="7" borderId="15" xfId="5" applyFont="1" applyFill="1" applyBorder="1" applyAlignment="1">
      <alignment horizontal="centerContinuous"/>
    </xf>
    <xf numFmtId="0" fontId="10" fillId="7" borderId="15" xfId="5" applyFont="1" applyFill="1" applyBorder="1" applyAlignment="1">
      <alignment horizontal="center"/>
    </xf>
    <xf numFmtId="0" fontId="10" fillId="7" borderId="21" xfId="5" applyFont="1" applyFill="1" applyBorder="1" applyAlignment="1">
      <alignment horizontal="center"/>
    </xf>
    <xf numFmtId="180" fontId="36" fillId="0" borderId="0" xfId="1" applyNumberFormat="1" applyFont="1"/>
    <xf numFmtId="191" fontId="13" fillId="0" borderId="0" xfId="1" applyNumberFormat="1" applyFont="1"/>
    <xf numFmtId="192" fontId="13" fillId="0" borderId="0" xfId="1" applyNumberFormat="1" applyFont="1"/>
    <xf numFmtId="0" fontId="9" fillId="10" borderId="11" xfId="1" applyFont="1" applyFill="1" applyBorder="1" applyAlignment="1">
      <alignment horizontal="center"/>
    </xf>
    <xf numFmtId="0" fontId="9" fillId="10" borderId="12" xfId="1" applyFont="1" applyFill="1" applyBorder="1" applyAlignment="1">
      <alignment horizontal="center"/>
    </xf>
    <xf numFmtId="191" fontId="27" fillId="0" borderId="0" xfId="1" applyNumberFormat="1" applyFont="1"/>
    <xf numFmtId="167" fontId="15" fillId="8" borderId="11" xfId="1" applyNumberFormat="1" applyFont="1" applyFill="1" applyBorder="1" applyAlignment="1">
      <alignment horizontal="center"/>
    </xf>
    <xf numFmtId="42" fontId="15" fillId="8" borderId="10" xfId="1" applyNumberFormat="1" applyFont="1" applyFill="1" applyBorder="1"/>
    <xf numFmtId="44" fontId="0" fillId="0" borderId="0" xfId="0" applyNumberFormat="1"/>
    <xf numFmtId="167" fontId="13" fillId="0" borderId="0" xfId="1" applyNumberFormat="1" applyFont="1" applyAlignment="1">
      <alignment horizontal="center"/>
    </xf>
    <xf numFmtId="0" fontId="10" fillId="0" borderId="0" xfId="5" applyFont="1"/>
    <xf numFmtId="0" fontId="11" fillId="0" borderId="0" xfId="0" applyFont="1"/>
    <xf numFmtId="167" fontId="27" fillId="0" borderId="0" xfId="1" applyNumberFormat="1" applyFont="1" applyAlignment="1">
      <alignment horizontal="center"/>
    </xf>
    <xf numFmtId="182" fontId="15" fillId="8" borderId="10" xfId="1" applyNumberFormat="1" applyFont="1" applyFill="1" applyBorder="1"/>
    <xf numFmtId="42" fontId="11" fillId="5" borderId="3" xfId="0" applyNumberFormat="1" applyFont="1" applyFill="1" applyBorder="1" applyAlignment="1">
      <alignment horizontal="center"/>
    </xf>
    <xf numFmtId="0" fontId="10" fillId="0" borderId="0" xfId="6" applyFont="1"/>
    <xf numFmtId="0" fontId="2" fillId="0" borderId="0" xfId="6" applyFont="1"/>
    <xf numFmtId="0" fontId="2" fillId="0" borderId="0" xfId="7" applyFont="1"/>
    <xf numFmtId="0" fontId="27" fillId="0" borderId="0" xfId="7" applyFont="1"/>
    <xf numFmtId="0" fontId="11" fillId="0" borderId="0" xfId="7" applyFont="1"/>
    <xf numFmtId="170" fontId="2" fillId="0" borderId="0" xfId="6" applyNumberFormat="1" applyFont="1"/>
    <xf numFmtId="43" fontId="2" fillId="0" borderId="0" xfId="6" applyNumberFormat="1" applyFont="1"/>
    <xf numFmtId="3" fontId="2" fillId="0" borderId="0" xfId="6" applyNumberFormat="1" applyFont="1"/>
    <xf numFmtId="187" fontId="2" fillId="0" borderId="0" xfId="6" applyNumberFormat="1" applyFont="1"/>
    <xf numFmtId="10" fontId="2" fillId="0" borderId="0" xfId="6" applyNumberFormat="1" applyFont="1"/>
    <xf numFmtId="0" fontId="38" fillId="0" borderId="0" xfId="8" applyFont="1" applyFill="1" applyBorder="1"/>
    <xf numFmtId="0" fontId="2" fillId="0" borderId="0" xfId="5" applyFont="1"/>
    <xf numFmtId="0" fontId="10" fillId="7" borderId="2" xfId="6" applyFont="1" applyFill="1" applyBorder="1"/>
    <xf numFmtId="0" fontId="2" fillId="7" borderId="2" xfId="6" applyFont="1" applyFill="1" applyBorder="1"/>
    <xf numFmtId="171" fontId="10" fillId="7" borderId="2" xfId="6" applyNumberFormat="1" applyFont="1" applyFill="1" applyBorder="1" applyAlignment="1">
      <alignment horizontal="center"/>
    </xf>
    <xf numFmtId="0" fontId="2" fillId="0" borderId="0" xfId="6" applyFont="1" applyAlignment="1">
      <alignment horizontal="left" indent="1"/>
    </xf>
    <xf numFmtId="41" fontId="34" fillId="0" borderId="1" xfId="5" applyNumberFormat="1" applyFont="1" applyBorder="1"/>
    <xf numFmtId="41" fontId="2" fillId="0" borderId="0" xfId="6" applyNumberFormat="1" applyFont="1"/>
    <xf numFmtId="41" fontId="34" fillId="0" borderId="0" xfId="5" applyNumberFormat="1" applyFont="1"/>
    <xf numFmtId="0" fontId="10" fillId="0" borderId="0" xfId="0" applyFont="1" applyAlignment="1">
      <alignment horizontal="center"/>
    </xf>
    <xf numFmtId="185" fontId="11" fillId="0" borderId="0" xfId="4" applyNumberFormat="1" applyFont="1" applyAlignment="1">
      <alignment horizontal="center"/>
    </xf>
    <xf numFmtId="44" fontId="11" fillId="0" borderId="0" xfId="4" applyNumberFormat="1" applyFont="1" applyAlignment="1">
      <alignment horizontal="center"/>
    </xf>
    <xf numFmtId="178" fontId="13" fillId="0" borderId="0" xfId="0" applyNumberFormat="1" applyFont="1"/>
    <xf numFmtId="185" fontId="13" fillId="0" borderId="0" xfId="4" applyNumberFormat="1" applyFont="1" applyAlignment="1">
      <alignment horizontal="center"/>
    </xf>
    <xf numFmtId="185" fontId="10" fillId="0" borderId="0" xfId="0" applyNumberFormat="1" applyFont="1" applyAlignment="1">
      <alignment horizontal="center"/>
    </xf>
    <xf numFmtId="177" fontId="2" fillId="0" borderId="0" xfId="0" applyNumberFormat="1" applyFont="1"/>
    <xf numFmtId="177" fontId="34" fillId="0" borderId="0" xfId="1" applyNumberFormat="1" applyFont="1" applyAlignment="1">
      <alignment horizontal="center"/>
    </xf>
    <xf numFmtId="9" fontId="2" fillId="0" borderId="0" xfId="0" applyNumberFormat="1" applyFont="1"/>
    <xf numFmtId="180" fontId="2" fillId="0" borderId="0" xfId="0" applyNumberFormat="1" applyFont="1"/>
    <xf numFmtId="180" fontId="13" fillId="0" borderId="0" xfId="4" applyNumberFormat="1" applyFont="1"/>
    <xf numFmtId="41" fontId="11" fillId="5" borderId="3" xfId="0" applyNumberFormat="1" applyFont="1" applyFill="1" applyBorder="1" applyAlignment="1">
      <alignment horizontal="center"/>
    </xf>
    <xf numFmtId="41" fontId="11" fillId="5" borderId="26" xfId="0" applyNumberFormat="1" applyFont="1" applyFill="1" applyBorder="1" applyAlignment="1">
      <alignment horizontal="center"/>
    </xf>
    <xf numFmtId="0" fontId="19" fillId="0" borderId="27" xfId="0" applyFont="1" applyBorder="1" applyAlignment="1">
      <alignment horizontal="center"/>
    </xf>
    <xf numFmtId="193" fontId="10" fillId="0" borderId="0" xfId="0" applyNumberFormat="1" applyFont="1"/>
    <xf numFmtId="194" fontId="13" fillId="0" borderId="0" xfId="0" applyNumberFormat="1" applyFont="1"/>
    <xf numFmtId="182" fontId="15" fillId="0" borderId="0" xfId="0" applyNumberFormat="1" applyFont="1" applyAlignment="1">
      <alignment horizontal="right"/>
    </xf>
    <xf numFmtId="42" fontId="2" fillId="0" borderId="0" xfId="6" applyNumberFormat="1" applyFont="1"/>
    <xf numFmtId="165" fontId="13" fillId="7" borderId="11" xfId="1" applyNumberFormat="1" applyFont="1" applyFill="1" applyBorder="1" applyAlignment="1">
      <alignment horizontal="center"/>
    </xf>
    <xf numFmtId="165" fontId="13" fillId="7" borderId="12" xfId="1" applyNumberFormat="1" applyFont="1" applyFill="1" applyBorder="1" applyAlignment="1">
      <alignment horizontal="center"/>
    </xf>
    <xf numFmtId="188" fontId="1" fillId="0" borderId="15" xfId="0" applyNumberFormat="1" applyFont="1" applyBorder="1"/>
    <xf numFmtId="188" fontId="1" fillId="0" borderId="0" xfId="0" applyNumberFormat="1" applyFont="1"/>
    <xf numFmtId="182" fontId="1" fillId="0" borderId="13" xfId="0" applyNumberFormat="1" applyFont="1" applyBorder="1"/>
    <xf numFmtId="182" fontId="1" fillId="0" borderId="1" xfId="0" applyNumberFormat="1" applyFont="1" applyBorder="1"/>
    <xf numFmtId="182" fontId="1" fillId="0" borderId="0" xfId="0" applyNumberFormat="1" applyFont="1"/>
    <xf numFmtId="179" fontId="27" fillId="5" borderId="3" xfId="1" applyNumberFormat="1" applyFont="1" applyFill="1" applyBorder="1" applyAlignment="1">
      <alignment horizontal="center"/>
    </xf>
    <xf numFmtId="3" fontId="27" fillId="5" borderId="3" xfId="1" applyNumberFormat="1" applyFont="1" applyFill="1" applyBorder="1" applyAlignment="1">
      <alignment horizontal="center"/>
    </xf>
    <xf numFmtId="179" fontId="9" fillId="13" borderId="0" xfId="0" applyNumberFormat="1" applyFont="1" applyFill="1" applyAlignment="1">
      <alignment horizontal="center"/>
    </xf>
    <xf numFmtId="179" fontId="9" fillId="13" borderId="2" xfId="0" applyNumberFormat="1" applyFont="1" applyFill="1" applyBorder="1" applyAlignment="1">
      <alignment horizontal="center"/>
    </xf>
    <xf numFmtId="179" fontId="9" fillId="13" borderId="11" xfId="0" applyNumberFormat="1" applyFont="1" applyFill="1" applyBorder="1" applyAlignment="1">
      <alignment horizontal="center"/>
    </xf>
    <xf numFmtId="42" fontId="39" fillId="0" borderId="0" xfId="0" applyNumberFormat="1" applyFont="1"/>
    <xf numFmtId="175" fontId="9" fillId="13" borderId="11" xfId="0" applyNumberFormat="1" applyFont="1" applyFill="1" applyBorder="1" applyAlignment="1">
      <alignment horizontal="center"/>
    </xf>
    <xf numFmtId="0" fontId="9" fillId="0" borderId="0" xfId="0" applyFont="1"/>
    <xf numFmtId="175" fontId="9" fillId="0" borderId="0" xfId="0" applyNumberFormat="1" applyFont="1"/>
    <xf numFmtId="175" fontId="9" fillId="13" borderId="12" xfId="0" applyNumberFormat="1" applyFont="1" applyFill="1" applyBorder="1" applyAlignment="1">
      <alignment horizontal="center"/>
    </xf>
    <xf numFmtId="179" fontId="9" fillId="0" borderId="0" xfId="0" applyNumberFormat="1" applyFont="1"/>
    <xf numFmtId="179" fontId="9" fillId="13" borderId="12" xfId="0" applyNumberFormat="1" applyFont="1" applyFill="1" applyBorder="1" applyAlignment="1">
      <alignment horizontal="center"/>
    </xf>
    <xf numFmtId="42" fontId="9" fillId="0" borderId="0" xfId="0" applyNumberFormat="1" applyFont="1"/>
    <xf numFmtId="44" fontId="1" fillId="0" borderId="0" xfId="0" applyNumberFormat="1" applyFont="1"/>
    <xf numFmtId="182" fontId="27" fillId="0" borderId="0" xfId="7" applyNumberFormat="1" applyFont="1"/>
    <xf numFmtId="182" fontId="2" fillId="0" borderId="0" xfId="7" applyNumberFormat="1" applyFont="1"/>
    <xf numFmtId="41" fontId="27" fillId="0" borderId="0" xfId="7" applyNumberFormat="1" applyFont="1"/>
    <xf numFmtId="41" fontId="2" fillId="0" borderId="0" xfId="7" applyNumberFormat="1" applyFont="1"/>
    <xf numFmtId="188" fontId="27" fillId="0" borderId="0" xfId="7" applyNumberFormat="1" applyFont="1"/>
    <xf numFmtId="188" fontId="13" fillId="0" borderId="0" xfId="7" applyNumberFormat="1" applyFont="1"/>
    <xf numFmtId="44" fontId="2" fillId="0" borderId="0" xfId="0" applyNumberFormat="1" applyFont="1"/>
    <xf numFmtId="43" fontId="2" fillId="0" borderId="0" xfId="0" applyNumberFormat="1" applyFont="1"/>
    <xf numFmtId="0" fontId="9" fillId="12" borderId="22" xfId="0" applyFont="1" applyFill="1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9" fillId="10" borderId="22" xfId="1" applyFont="1" applyFill="1" applyBorder="1" applyAlignment="1">
      <alignment horizontal="center" vertical="center" wrapText="1"/>
    </xf>
    <xf numFmtId="0" fontId="34" fillId="0" borderId="0" xfId="0" applyFont="1" applyAlignment="1">
      <alignment horizontal="center"/>
    </xf>
    <xf numFmtId="165" fontId="34" fillId="0" borderId="0" xfId="1" applyNumberFormat="1" applyFont="1" applyAlignment="1">
      <alignment horizontal="center"/>
    </xf>
    <xf numFmtId="3" fontId="34" fillId="0" borderId="0" xfId="0" applyNumberFormat="1" applyFont="1" applyAlignment="1">
      <alignment horizontal="center"/>
    </xf>
    <xf numFmtId="179" fontId="34" fillId="0" borderId="0" xfId="0" applyNumberFormat="1" applyFont="1" applyAlignment="1">
      <alignment horizontal="center"/>
    </xf>
    <xf numFmtId="167" fontId="34" fillId="0" borderId="0" xfId="1" applyNumberFormat="1" applyFont="1" applyAlignment="1">
      <alignment horizontal="center"/>
    </xf>
  </cellXfs>
  <cellStyles count="9">
    <cellStyle name="Hyperlink 3" xfId="8" xr:uid="{96BA07CF-0077-4909-92EA-F6955B6B70A3}"/>
    <cellStyle name="Normal" xfId="0" builtinId="0"/>
    <cellStyle name="Normal 2" xfId="1" xr:uid="{00000000-0005-0000-0000-000001000000}"/>
    <cellStyle name="Normal 2 2" xfId="3" xr:uid="{A384FE2D-9574-4F4A-BB4C-C126CDB62815}"/>
    <cellStyle name="Normal 2 2 2" xfId="4" xr:uid="{F9115605-AB89-4B3A-BD93-8155837AB05F}"/>
    <cellStyle name="Normal 3" xfId="5" xr:uid="{6195ED78-B106-4A39-8F7D-81C5AC49A4AE}"/>
    <cellStyle name="Normal 3 2 2 2" xfId="6" xr:uid="{E4E53446-0341-406D-A8DF-65EC6470E13E}"/>
    <cellStyle name="Normal 3 4" xfId="7" xr:uid="{939860F6-92CE-40F9-B92E-3306BA5820A5}"/>
    <cellStyle name="Note" xfId="2" builtinId="10"/>
  </cellStyles>
  <dxfs count="0"/>
  <tableStyles count="0" defaultTableStyle="TableStyleMedium9" defaultPivotStyle="PivotStyleLight16"/>
  <colors>
    <mruColors>
      <color rgb="FF1F497D"/>
      <color rgb="FF0000FF"/>
      <color rgb="FFFFFF99"/>
      <color rgb="FFB2B2B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Graphs!$P$75:$P$145</c:f>
              <c:numCache>
                <c:formatCode>yyyy\-mm\-dd</c:formatCode>
                <c:ptCount val="71"/>
                <c:pt idx="32" formatCode="&quot;FY&quot;\ yy">
                  <c:v>50770</c:v>
                </c:pt>
                <c:pt idx="33" formatCode="_(&quot;$&quot;* #,##0_);_(&quot;$&quot;* \(#,##0\);_(&quot;$&quot;* &quot;-&quot;_);_(@_)">
                  <c:v>60586.839090106951</c:v>
                </c:pt>
                <c:pt idx="34" formatCode="_(* #,##0_);_(* \(#,##0\);_(* &quot;-&quot;_);_(@_)">
                  <c:v>126420.96174968385</c:v>
                </c:pt>
                <c:pt idx="35" formatCode="_(* #,##0_);_(* \(#,##0\);_(* &quot;-&quot;_);_(@_)">
                  <c:v>68304.718960425103</c:v>
                </c:pt>
                <c:pt idx="67" formatCode="&quot;FY&quot;\ yy">
                  <c:v>50770</c:v>
                </c:pt>
                <c:pt idx="68" formatCode="_(* #,##0_);_(* \(#,##0\);_(* &quot;-&quot;_);_(@_)">
                  <c:v>197697.98127971255</c:v>
                </c:pt>
                <c:pt idx="69" formatCode="_(* #,##0_);_(* \(#,##0\);_(* &quot;-&quot;_);_(@_)">
                  <c:v>255312.5198002159</c:v>
                </c:pt>
                <c:pt idx="70" formatCode="_(* #,##0_);_(* \(#,##0\);_(* &quot;-&quot;_);_(@_)">
                  <c:v>322205.32447678549</c:v>
                </c:pt>
              </c:numCache>
            </c:numRef>
          </c:cat>
          <c:val>
            <c:numRef>
              <c:f>Graphs!$Q$75:$Q$145</c:f>
              <c:numCache>
                <c:formatCode>_(* #,##0.00_);_(* \(#,##0.00\);_(* "-"??_);_(@_)</c:formatCode>
                <c:ptCount val="71"/>
                <c:pt idx="32" formatCode="&quot;FY&quot;\ yy">
                  <c:v>51135</c:v>
                </c:pt>
                <c:pt idx="33" formatCode="_(&quot;$&quot;* #,##0_);_(&quot;$&quot;* \(#,##0\);_(&quot;$&quot;* &quot;-&quot;_);_(@_)">
                  <c:v>63284.678147543236</c:v>
                </c:pt>
                <c:pt idx="34" formatCode="_(* #,##0_);_(* \(#,##0\);_(* &quot;-&quot;_);_(@_)">
                  <c:v>137288.36387052119</c:v>
                </c:pt>
                <c:pt idx="35" formatCode="_(* #,##0_);_(* \(#,##0\);_(* &quot;-&quot;_);_(@_)">
                  <c:v>78861.014605523596</c:v>
                </c:pt>
                <c:pt idx="67" formatCode="&quot;FY&quot;\ yy">
                  <c:v>51135</c:v>
                </c:pt>
                <c:pt idx="68" formatCode="_(* #,##0_);_(* \(#,##0\);_(* &quot;-&quot;_);_(@_)">
                  <c:v>213957.11754944568</c:v>
                </c:pt>
                <c:pt idx="69" formatCode="_(* #,##0_);_(* \(#,##0\);_(* &quot;-&quot;_);_(@_)">
                  <c:v>279434.05662358803</c:v>
                </c:pt>
                <c:pt idx="70" formatCode="_(* #,##0_);_(* \(#,##0\);_(* &quot;-&quot;_);_(@_)">
                  <c:v>356509.32964026264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Graphs!#REF!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4E32-46D9-A9DA-E921BC69598E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Graphs!$P$75:$P$145</c:f>
              <c:numCache>
                <c:formatCode>yyyy\-mm\-dd</c:formatCode>
                <c:ptCount val="71"/>
                <c:pt idx="32" formatCode="&quot;FY&quot;\ yy">
                  <c:v>50770</c:v>
                </c:pt>
                <c:pt idx="33" formatCode="_(&quot;$&quot;* #,##0_);_(&quot;$&quot;* \(#,##0\);_(&quot;$&quot;* &quot;-&quot;_);_(@_)">
                  <c:v>60586.839090106951</c:v>
                </c:pt>
                <c:pt idx="34" formatCode="_(* #,##0_);_(* \(#,##0\);_(* &quot;-&quot;_);_(@_)">
                  <c:v>126420.96174968385</c:v>
                </c:pt>
                <c:pt idx="35" formatCode="_(* #,##0_);_(* \(#,##0\);_(* &quot;-&quot;_);_(@_)">
                  <c:v>68304.718960425103</c:v>
                </c:pt>
                <c:pt idx="67" formatCode="&quot;FY&quot;\ yy">
                  <c:v>50770</c:v>
                </c:pt>
                <c:pt idx="68" formatCode="_(* #,##0_);_(* \(#,##0\);_(* &quot;-&quot;_);_(@_)">
                  <c:v>197697.98127971255</c:v>
                </c:pt>
                <c:pt idx="69" formatCode="_(* #,##0_);_(* \(#,##0\);_(* &quot;-&quot;_);_(@_)">
                  <c:v>255312.5198002159</c:v>
                </c:pt>
                <c:pt idx="70" formatCode="_(* #,##0_);_(* \(#,##0\);_(* &quot;-&quot;_);_(@_)">
                  <c:v>322205.32447678549</c:v>
                </c:pt>
              </c:numCache>
            </c:numRef>
          </c:cat>
          <c:val>
            <c:numRef>
              <c:f>Graphs!$R$75:$R$145</c:f>
              <c:numCache>
                <c:formatCode>#,##0</c:formatCode>
                <c:ptCount val="71"/>
                <c:pt idx="32" formatCode="&quot;FY&quot;\ yy">
                  <c:v>51501</c:v>
                </c:pt>
                <c:pt idx="33" formatCode="_(&quot;$&quot;* #,##0_);_(&quot;$&quot;* \(#,##0\);_(&quot;$&quot;* &quot;-&quot;_);_(@_)">
                  <c:v>65828.018259813689</c:v>
                </c:pt>
                <c:pt idx="34" formatCode="_(* #,##0_);_(* \(#,##0\);_(* &quot;-&quot;_);_(@_)">
                  <c:v>148966.24688621244</c:v>
                </c:pt>
                <c:pt idx="35" formatCode="_(* #,##0_);_(* \(#,##0\);_(* &quot;-&quot;_);_(@_)">
                  <c:v>90077.191707756298</c:v>
                </c:pt>
                <c:pt idx="67" formatCode="&quot;FY&quot;\ yy">
                  <c:v>51501</c:v>
                </c:pt>
                <c:pt idx="68" formatCode="_(* #,##0_);_(* \(#,##0\);_(* &quot;-&quot;_);_(@_)">
                  <c:v>231047.88274529087</c:v>
                </c:pt>
                <c:pt idx="69" formatCode="_(* #,##0_);_(* \(#,##0\);_(* &quot;-&quot;_);_(@_)">
                  <c:v>304871.45685378241</c:v>
                </c:pt>
                <c:pt idx="70" formatCode="_(* #,##0_);_(* \(#,##0\);_(* &quot;-&quot;_);_(@_)">
                  <c:v>392825.98384279991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Graphs!#REF!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4E32-46D9-A9DA-E921BC695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19259200"/>
        <c:axId val="619252968"/>
      </c:barChart>
      <c:catAx>
        <c:axId val="619259200"/>
        <c:scaling>
          <c:orientation val="minMax"/>
        </c:scaling>
        <c:delete val="0"/>
        <c:axPos val="b"/>
        <c:numFmt formatCode="yyyy\-mm\-dd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9252968"/>
        <c:crosses val="autoZero"/>
        <c:auto val="1"/>
        <c:lblAlgn val="ctr"/>
        <c:lblOffset val="100"/>
        <c:noMultiLvlLbl val="0"/>
      </c:catAx>
      <c:valAx>
        <c:axId val="619252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92592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Graphs!$B$35</c:f>
          <c:strCache>
            <c:ptCount val="1"/>
            <c:pt idx="0">
              <c:v>DCF Sensitivity Analysis (Optimistic Case)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1"/>
          <c:tx>
            <c:strRef>
              <c:f>Graphs!$N$36:$N$37</c:f>
              <c:strCache>
                <c:ptCount val="2"/>
                <c:pt idx="0">
                  <c:v>Min Point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Graphs!$B$38:$B$44</c:f>
              <c:strCache>
                <c:ptCount val="7"/>
                <c:pt idx="0">
                  <c:v>Company Implied Equity Value - Starlink Initial Addressable Rural Households (Millions):</c:v>
                </c:pt>
                <c:pt idx="1">
                  <c:v>Company Implied Equity Value - Starlink Final Market Penetration:</c:v>
                </c:pt>
                <c:pt idx="2">
                  <c:v>Company Implied Equity Value -  AI Revenue per Used MW Initial Growth Rate:</c:v>
                </c:pt>
                <c:pt idx="3">
                  <c:v>Company Implied Equity Value -  AI Data Center Final Market Share:</c:v>
                </c:pt>
                <c:pt idx="4">
                  <c:v>Company Implied Equity Value -  Year 1 Orbital Launch Growth Rate:</c:v>
                </c:pt>
                <c:pt idx="5">
                  <c:v>Company Implied Equity Value -  Year 1 Revenue per Launch Growth Rate:</c:v>
                </c:pt>
                <c:pt idx="6">
                  <c:v>Implied Equity Value in Current Scenario:</c:v>
                </c:pt>
              </c:strCache>
            </c:strRef>
          </c:cat>
          <c:val>
            <c:numRef>
              <c:f>Graphs!$N$38:$N$43</c:f>
              <c:numCache>
                <c:formatCode>_(* #,##0_);_(* \(#,##0\);_(* "-"_);_(@_)</c:formatCode>
                <c:ptCount val="6"/>
                <c:pt idx="0" formatCode="_(&quot;$&quot;* #,##0_);_(&quot;$&quot;* \(#,##0\);_(&quot;$&quot;* &quot;-&quot;??_);_(@_)">
                  <c:v>359027.03962766676</c:v>
                </c:pt>
                <c:pt idx="1">
                  <c:v>335703.75023868668</c:v>
                </c:pt>
                <c:pt idx="2">
                  <c:v>404423.7274820648</c:v>
                </c:pt>
                <c:pt idx="3">
                  <c:v>362638.74557440623</c:v>
                </c:pt>
                <c:pt idx="4">
                  <c:v>366512.77813726896</c:v>
                </c:pt>
                <c:pt idx="5">
                  <c:v>407775.37687555439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A0-4298-8313-1B6552EA1544}"/>
            </c:ext>
          </c:extLst>
        </c:ser>
        <c:ser>
          <c:idx val="1"/>
          <c:order val="2"/>
          <c:tx>
            <c:strRef>
              <c:f>Graphs!$O$36:$O$37</c:f>
              <c:strCache>
                <c:ptCount val="2"/>
                <c:pt idx="0">
                  <c:v>25th Point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Graphs!$B$38:$B$44</c:f>
              <c:strCache>
                <c:ptCount val="7"/>
                <c:pt idx="0">
                  <c:v>Company Implied Equity Value - Starlink Initial Addressable Rural Households (Millions):</c:v>
                </c:pt>
                <c:pt idx="1">
                  <c:v>Company Implied Equity Value - Starlink Final Market Penetration:</c:v>
                </c:pt>
                <c:pt idx="2">
                  <c:v>Company Implied Equity Value -  AI Revenue per Used MW Initial Growth Rate:</c:v>
                </c:pt>
                <c:pt idx="3">
                  <c:v>Company Implied Equity Value -  AI Data Center Final Market Share:</c:v>
                </c:pt>
                <c:pt idx="4">
                  <c:v>Company Implied Equity Value -  Year 1 Orbital Launch Growth Rate:</c:v>
                </c:pt>
                <c:pt idx="5">
                  <c:v>Company Implied Equity Value -  Year 1 Revenue per Launch Growth Rate:</c:v>
                </c:pt>
                <c:pt idx="6">
                  <c:v>Implied Equity Value in Current Scenario:</c:v>
                </c:pt>
              </c:strCache>
            </c:strRef>
          </c:cat>
          <c:val>
            <c:numRef>
              <c:f>Graphs!$O$38:$O$43</c:f>
              <c:numCache>
                <c:formatCode>General</c:formatCode>
                <c:ptCount val="6"/>
                <c:pt idx="0">
                  <c:v>0.01</c:v>
                </c:pt>
                <c:pt idx="1">
                  <c:v>0.01</c:v>
                </c:pt>
                <c:pt idx="2">
                  <c:v>0.01</c:v>
                </c:pt>
                <c:pt idx="3">
                  <c:v>0.01</c:v>
                </c:pt>
                <c:pt idx="4">
                  <c:v>0.01</c:v>
                </c:pt>
                <c:pt idx="5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A0-4298-8313-1B6552EA1544}"/>
            </c:ext>
          </c:extLst>
        </c:ser>
        <c:ser>
          <c:idx val="2"/>
          <c:order val="3"/>
          <c:tx>
            <c:strRef>
              <c:f>Graphs!$P$36:$P$37</c:f>
              <c:strCache>
                <c:ptCount val="2"/>
                <c:pt idx="0">
                  <c:v>Max Point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Graphs!$B$38:$B$44</c:f>
              <c:strCache>
                <c:ptCount val="7"/>
                <c:pt idx="0">
                  <c:v>Company Implied Equity Value - Starlink Initial Addressable Rural Households (Millions):</c:v>
                </c:pt>
                <c:pt idx="1">
                  <c:v>Company Implied Equity Value - Starlink Final Market Penetration:</c:v>
                </c:pt>
                <c:pt idx="2">
                  <c:v>Company Implied Equity Value -  AI Revenue per Used MW Initial Growth Rate:</c:v>
                </c:pt>
                <c:pt idx="3">
                  <c:v>Company Implied Equity Value -  AI Data Center Final Market Share:</c:v>
                </c:pt>
                <c:pt idx="4">
                  <c:v>Company Implied Equity Value -  Year 1 Orbital Launch Growth Rate:</c:v>
                </c:pt>
                <c:pt idx="5">
                  <c:v>Company Implied Equity Value -  Year 1 Revenue per Launch Growth Rate:</c:v>
                </c:pt>
                <c:pt idx="6">
                  <c:v>Implied Equity Value in Current Scenario:</c:v>
                </c:pt>
              </c:strCache>
            </c:strRef>
          </c:cat>
          <c:val>
            <c:numRef>
              <c:f>Graphs!$P$38:$P$43</c:f>
              <c:numCache>
                <c:formatCode>_(* #,##0_);_(* \(#,##0\);_(* "-"_);_(@_)</c:formatCode>
                <c:ptCount val="6"/>
                <c:pt idx="0" formatCode="_(&quot;$&quot;* #,##0_);_(&quot;$&quot;* \(#,##0\);_(&quot;$&quot;* &quot;-&quot;??_);_(@_)">
                  <c:v>139933.49675698375</c:v>
                </c:pt>
                <c:pt idx="1">
                  <c:v>186578.12055200513</c:v>
                </c:pt>
                <c:pt idx="2">
                  <c:v>83285.667843136529</c:v>
                </c:pt>
                <c:pt idx="3">
                  <c:v>132698.7194840553</c:v>
                </c:pt>
                <c:pt idx="4">
                  <c:v>201351.93324901082</c:v>
                </c:pt>
                <c:pt idx="5">
                  <c:v>46306.756739046832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7A0-4298-8313-1B6552EA15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93943551"/>
        <c:axId val="202419424"/>
      </c:barChart>
      <c:scatterChart>
        <c:scatterStyle val="smoothMarker"/>
        <c:varyColors val="0"/>
        <c:ser>
          <c:idx val="3"/>
          <c:order val="0"/>
          <c:tx>
            <c:strRef>
              <c:f>Graphs!$B$44</c:f>
              <c:strCache>
                <c:ptCount val="1"/>
                <c:pt idx="0">
                  <c:v>Implied Equity Value in Current Scenario: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xVal>
            <c:numRef>
              <c:f>Graphs!$K$44:$M$44</c:f>
              <c:numCache>
                <c:formatCode>_(* #,##0_);_(* \(#,##0\);_(* "-"??_);_(@_)</c:formatCode>
                <c:ptCount val="3"/>
                <c:pt idx="0">
                  <c:v>428995.04494639928</c:v>
                </c:pt>
                <c:pt idx="1">
                  <c:v>428995.04494639928</c:v>
                </c:pt>
                <c:pt idx="2">
                  <c:v>428995.04494639928</c:v>
                </c:pt>
              </c:numCache>
            </c:numRef>
          </c:xVal>
          <c:yVal>
            <c:numRef>
              <c:f>Graphs!$N$44:$P$44</c:f>
              <c:numCache>
                <c:formatCode>General</c:formatCode>
                <c:ptCount val="3"/>
                <c:pt idx="0" formatCode="_(* #,##0_);_(* \(#,##0\);_(* &quot;-&quot;??_);_(@_)">
                  <c:v>1000</c:v>
                </c:pt>
                <c:pt idx="1">
                  <c:v>0</c:v>
                </c:pt>
                <c:pt idx="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7A0-4298-8313-1B6552EA15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8673600"/>
        <c:axId val="298680048"/>
      </c:scatterChart>
      <c:catAx>
        <c:axId val="179394355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2419424"/>
        <c:crosses val="autoZero"/>
        <c:auto val="1"/>
        <c:lblAlgn val="ctr"/>
        <c:lblOffset val="100"/>
        <c:noMultiLvlLbl val="0"/>
      </c:catAx>
      <c:valAx>
        <c:axId val="202419424"/>
        <c:scaling>
          <c:orientation val="minMax"/>
          <c:max val="60000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3943551"/>
        <c:crosses val="autoZero"/>
        <c:crossBetween val="between"/>
      </c:valAx>
      <c:valAx>
        <c:axId val="298680048"/>
        <c:scaling>
          <c:orientation val="minMax"/>
          <c:max val="1000"/>
          <c:min val="0"/>
        </c:scaling>
        <c:delete val="1"/>
        <c:axPos val="r"/>
        <c:numFmt formatCode="_(* #,##0_);_(* \(#,##0\);_(* &quot;-&quot;??_);_(@_)" sourceLinked="1"/>
        <c:majorTickMark val="out"/>
        <c:minorTickMark val="none"/>
        <c:tickLblPos val="nextTo"/>
        <c:crossAx val="298673600"/>
        <c:crosses val="max"/>
        <c:crossBetween val="midCat"/>
      </c:valAx>
      <c:valAx>
        <c:axId val="298673600"/>
        <c:scaling>
          <c:orientation val="minMax"/>
        </c:scaling>
        <c:delete val="1"/>
        <c:axPos val="b"/>
        <c:numFmt formatCode="_(* #,##0_);_(* \(#,##0\);_(* &quot;-&quot;??_);_(@_)" sourceLinked="1"/>
        <c:majorTickMark val="out"/>
        <c:minorTickMark val="none"/>
        <c:tickLblPos val="nextTo"/>
        <c:crossAx val="2986800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Graphs!$B$15</c:f>
          <c:strCache>
            <c:ptCount val="1"/>
            <c:pt idx="0">
              <c:v>SpaceX Inc. - Implied Equity Values Across Cases ($ in Millions)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3"/>
          <c:order val="3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A544-489D-8CA3-C2113E3E721A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A544-489D-8CA3-C2113E3E721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A544-489D-8CA3-C2113E3E721A}"/>
              </c:ext>
            </c:extLst>
          </c:dPt>
          <c:dPt>
            <c:idx val="3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A544-489D-8CA3-C2113E3E721A}"/>
              </c:ext>
            </c:extLst>
          </c:dPt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Graphs!$B$22:$B$25</c:f>
              <c:strCache>
                <c:ptCount val="4"/>
                <c:pt idx="0">
                  <c:v>Realistic</c:v>
                </c:pt>
                <c:pt idx="1">
                  <c:v>Optimistic</c:v>
                </c:pt>
                <c:pt idx="2">
                  <c:v>Elon</c:v>
                </c:pt>
                <c:pt idx="3">
                  <c:v>Theoretical "Asking Price"</c:v>
                </c:pt>
              </c:strCache>
            </c:strRef>
          </c:cat>
          <c:val>
            <c:numRef>
              <c:f>Graphs!$F$22:$F$25</c:f>
              <c:numCache>
                <c:formatCode>_(* #,##0_);_(* \(#,##0\);_(* "-"_);_(@_)</c:formatCode>
                <c:ptCount val="4"/>
                <c:pt idx="0">
                  <c:v>164592.47373951061</c:v>
                </c:pt>
                <c:pt idx="1">
                  <c:v>432884.95040574879</c:v>
                </c:pt>
                <c:pt idx="2">
                  <c:v>1084963.3372605352</c:v>
                </c:pt>
                <c:pt idx="3">
                  <c:v>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44-489D-8CA3-C2113E3E72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6871135"/>
        <c:axId val="706871615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Graphs!$B$22:$B$25</c15:sqref>
                        </c15:formulaRef>
                      </c:ext>
                    </c:extLst>
                    <c:strCache>
                      <c:ptCount val="4"/>
                      <c:pt idx="0">
                        <c:v>Realistic</c:v>
                      </c:pt>
                      <c:pt idx="1">
                        <c:v>Optimistic</c:v>
                      </c:pt>
                      <c:pt idx="2">
                        <c:v>Elon</c:v>
                      </c:pt>
                      <c:pt idx="3">
                        <c:v>Theoretical "Asking Price"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Graphs!$C$22:$C$25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A544-489D-8CA3-C2113E3E721A}"/>
                  </c:ext>
                </c:extLst>
              </c15:ser>
            </c15:filteredBarSeries>
            <c15:filteredBarSeries>
              <c15:ser>
                <c:idx val="1"/>
                <c:order val="1"/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Graphs!$B$22:$B$25</c15:sqref>
                        </c15:formulaRef>
                      </c:ext>
                    </c:extLst>
                    <c:strCache>
                      <c:ptCount val="4"/>
                      <c:pt idx="0">
                        <c:v>Realistic</c:v>
                      </c:pt>
                      <c:pt idx="1">
                        <c:v>Optimistic</c:v>
                      </c:pt>
                      <c:pt idx="2">
                        <c:v>Elon</c:v>
                      </c:pt>
                      <c:pt idx="3">
                        <c:v>Theoretical "Asking Price"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Graphs!$D$22:$D$25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A544-489D-8CA3-C2113E3E721A}"/>
                  </c:ext>
                </c:extLst>
              </c15:ser>
            </c15:filteredBarSeries>
            <c15:filteredBarSeries>
              <c15:ser>
                <c:idx val="2"/>
                <c:order val="2"/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Graphs!$B$22:$B$25</c15:sqref>
                        </c15:formulaRef>
                      </c:ext>
                    </c:extLst>
                    <c:strCache>
                      <c:ptCount val="4"/>
                      <c:pt idx="0">
                        <c:v>Realistic</c:v>
                      </c:pt>
                      <c:pt idx="1">
                        <c:v>Optimistic</c:v>
                      </c:pt>
                      <c:pt idx="2">
                        <c:v>Elon</c:v>
                      </c:pt>
                      <c:pt idx="3">
                        <c:v>Theoretical "Asking Price"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Graphs!$E$22:$E$25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A544-489D-8CA3-C2113E3E721A}"/>
                  </c:ext>
                </c:extLst>
              </c15:ser>
            </c15:filteredBarSeries>
          </c:ext>
        </c:extLst>
      </c:barChart>
      <c:catAx>
        <c:axId val="7068711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6871615"/>
        <c:crosses val="autoZero"/>
        <c:auto val="1"/>
        <c:lblAlgn val="ctr"/>
        <c:lblOffset val="100"/>
        <c:noMultiLvlLbl val="0"/>
      </c:catAx>
      <c:valAx>
        <c:axId val="7068716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68711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Graphs!$P$75:$P$145</c:f>
              <c:numCache>
                <c:formatCode>yyyy\-mm\-dd</c:formatCode>
                <c:ptCount val="71"/>
                <c:pt idx="32" formatCode="&quot;FY&quot;\ yy">
                  <c:v>50770</c:v>
                </c:pt>
                <c:pt idx="33" formatCode="_(&quot;$&quot;* #,##0_);_(&quot;$&quot;* \(#,##0\);_(&quot;$&quot;* &quot;-&quot;_);_(@_)">
                  <c:v>60586.839090106951</c:v>
                </c:pt>
                <c:pt idx="34" formatCode="_(* #,##0_);_(* \(#,##0\);_(* &quot;-&quot;_);_(@_)">
                  <c:v>126420.96174968385</c:v>
                </c:pt>
                <c:pt idx="35" formatCode="_(* #,##0_);_(* \(#,##0\);_(* &quot;-&quot;_);_(@_)">
                  <c:v>68304.718960425103</c:v>
                </c:pt>
                <c:pt idx="67" formatCode="&quot;FY&quot;\ yy">
                  <c:v>50770</c:v>
                </c:pt>
                <c:pt idx="68" formatCode="_(* #,##0_);_(* \(#,##0\);_(* &quot;-&quot;_);_(@_)">
                  <c:v>197697.98127971255</c:v>
                </c:pt>
                <c:pt idx="69" formatCode="_(* #,##0_);_(* \(#,##0\);_(* &quot;-&quot;_);_(@_)">
                  <c:v>255312.5198002159</c:v>
                </c:pt>
                <c:pt idx="70" formatCode="_(* #,##0_);_(* \(#,##0\);_(* &quot;-&quot;_);_(@_)">
                  <c:v>322205.32447678549</c:v>
                </c:pt>
              </c:numCache>
            </c:numRef>
          </c:cat>
          <c:val>
            <c:numRef>
              <c:f>Graphs!$Q$75:$Q$145</c:f>
              <c:numCache>
                <c:formatCode>_(* #,##0.00_);_(* \(#,##0.00\);_(* "-"??_);_(@_)</c:formatCode>
                <c:ptCount val="71"/>
                <c:pt idx="32" formatCode="&quot;FY&quot;\ yy">
                  <c:v>51135</c:v>
                </c:pt>
                <c:pt idx="33" formatCode="_(&quot;$&quot;* #,##0_);_(&quot;$&quot;* \(#,##0\);_(&quot;$&quot;* &quot;-&quot;_);_(@_)">
                  <c:v>63284.678147543236</c:v>
                </c:pt>
                <c:pt idx="34" formatCode="_(* #,##0_);_(* \(#,##0\);_(* &quot;-&quot;_);_(@_)">
                  <c:v>137288.36387052119</c:v>
                </c:pt>
                <c:pt idx="35" formatCode="_(* #,##0_);_(* \(#,##0\);_(* &quot;-&quot;_);_(@_)">
                  <c:v>78861.014605523596</c:v>
                </c:pt>
                <c:pt idx="67" formatCode="&quot;FY&quot;\ yy">
                  <c:v>51135</c:v>
                </c:pt>
                <c:pt idx="68" formatCode="_(* #,##0_);_(* \(#,##0\);_(* &quot;-&quot;_);_(@_)">
                  <c:v>213957.11754944568</c:v>
                </c:pt>
                <c:pt idx="69" formatCode="_(* #,##0_);_(* \(#,##0\);_(* &quot;-&quot;_);_(@_)">
                  <c:v>279434.05662358803</c:v>
                </c:pt>
                <c:pt idx="70" formatCode="_(* #,##0_);_(* \(#,##0\);_(* &quot;-&quot;_);_(@_)">
                  <c:v>356509.32964026264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Graphs!#REF!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D0AA-484C-B9FB-B6D451F511C6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Graphs!$P$75:$P$145</c:f>
              <c:numCache>
                <c:formatCode>yyyy\-mm\-dd</c:formatCode>
                <c:ptCount val="71"/>
                <c:pt idx="32" formatCode="&quot;FY&quot;\ yy">
                  <c:v>50770</c:v>
                </c:pt>
                <c:pt idx="33" formatCode="_(&quot;$&quot;* #,##0_);_(&quot;$&quot;* \(#,##0\);_(&quot;$&quot;* &quot;-&quot;_);_(@_)">
                  <c:v>60586.839090106951</c:v>
                </c:pt>
                <c:pt idx="34" formatCode="_(* #,##0_);_(* \(#,##0\);_(* &quot;-&quot;_);_(@_)">
                  <c:v>126420.96174968385</c:v>
                </c:pt>
                <c:pt idx="35" formatCode="_(* #,##0_);_(* \(#,##0\);_(* &quot;-&quot;_);_(@_)">
                  <c:v>68304.718960425103</c:v>
                </c:pt>
                <c:pt idx="67" formatCode="&quot;FY&quot;\ yy">
                  <c:v>50770</c:v>
                </c:pt>
                <c:pt idx="68" formatCode="_(* #,##0_);_(* \(#,##0\);_(* &quot;-&quot;_);_(@_)">
                  <c:v>197697.98127971255</c:v>
                </c:pt>
                <c:pt idx="69" formatCode="_(* #,##0_);_(* \(#,##0\);_(* &quot;-&quot;_);_(@_)">
                  <c:v>255312.5198002159</c:v>
                </c:pt>
                <c:pt idx="70" formatCode="_(* #,##0_);_(* \(#,##0\);_(* &quot;-&quot;_);_(@_)">
                  <c:v>322205.32447678549</c:v>
                </c:pt>
              </c:numCache>
            </c:numRef>
          </c:cat>
          <c:val>
            <c:numRef>
              <c:f>Graphs!$R$75:$R$145</c:f>
              <c:numCache>
                <c:formatCode>#,##0</c:formatCode>
                <c:ptCount val="71"/>
                <c:pt idx="32" formatCode="&quot;FY&quot;\ yy">
                  <c:v>51501</c:v>
                </c:pt>
                <c:pt idx="33" formatCode="_(&quot;$&quot;* #,##0_);_(&quot;$&quot;* \(#,##0\);_(&quot;$&quot;* &quot;-&quot;_);_(@_)">
                  <c:v>65828.018259813689</c:v>
                </c:pt>
                <c:pt idx="34" formatCode="_(* #,##0_);_(* \(#,##0\);_(* &quot;-&quot;_);_(@_)">
                  <c:v>148966.24688621244</c:v>
                </c:pt>
                <c:pt idx="35" formatCode="_(* #,##0_);_(* \(#,##0\);_(* &quot;-&quot;_);_(@_)">
                  <c:v>90077.191707756298</c:v>
                </c:pt>
                <c:pt idx="67" formatCode="&quot;FY&quot;\ yy">
                  <c:v>51501</c:v>
                </c:pt>
                <c:pt idx="68" formatCode="_(* #,##0_);_(* \(#,##0\);_(* &quot;-&quot;_);_(@_)">
                  <c:v>231047.88274529087</c:v>
                </c:pt>
                <c:pt idx="69" formatCode="_(* #,##0_);_(* \(#,##0\);_(* &quot;-&quot;_);_(@_)">
                  <c:v>304871.45685378241</c:v>
                </c:pt>
                <c:pt idx="70" formatCode="_(* #,##0_);_(* \(#,##0\);_(* &quot;-&quot;_);_(@_)">
                  <c:v>392825.98384279991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Graphs!#REF!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D0AA-484C-B9FB-B6D451F511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95651312"/>
        <c:axId val="895650984"/>
      </c:barChart>
      <c:catAx>
        <c:axId val="895651312"/>
        <c:scaling>
          <c:orientation val="minMax"/>
        </c:scaling>
        <c:delete val="0"/>
        <c:axPos val="b"/>
        <c:numFmt formatCode="yyyy\-mm\-dd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5650984"/>
        <c:crosses val="autoZero"/>
        <c:auto val="1"/>
        <c:lblAlgn val="ctr"/>
        <c:lblOffset val="100"/>
        <c:noMultiLvlLbl val="0"/>
      </c:catAx>
      <c:valAx>
        <c:axId val="895650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5651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Graphs!$P$75:$P$145</c:f>
              <c:numCache>
                <c:formatCode>yyyy\-mm\-dd</c:formatCode>
                <c:ptCount val="71"/>
                <c:pt idx="32" formatCode="&quot;FY&quot;\ yy">
                  <c:v>50770</c:v>
                </c:pt>
                <c:pt idx="33" formatCode="_(&quot;$&quot;* #,##0_);_(&quot;$&quot;* \(#,##0\);_(&quot;$&quot;* &quot;-&quot;_);_(@_)">
                  <c:v>60586.839090106951</c:v>
                </c:pt>
                <c:pt idx="34" formatCode="_(* #,##0_);_(* \(#,##0\);_(* &quot;-&quot;_);_(@_)">
                  <c:v>126420.96174968385</c:v>
                </c:pt>
                <c:pt idx="35" formatCode="_(* #,##0_);_(* \(#,##0\);_(* &quot;-&quot;_);_(@_)">
                  <c:v>68304.718960425103</c:v>
                </c:pt>
                <c:pt idx="67" formatCode="&quot;FY&quot;\ yy">
                  <c:v>50770</c:v>
                </c:pt>
                <c:pt idx="68" formatCode="_(* #,##0_);_(* \(#,##0\);_(* &quot;-&quot;_);_(@_)">
                  <c:v>197697.98127971255</c:v>
                </c:pt>
                <c:pt idx="69" formatCode="_(* #,##0_);_(* \(#,##0\);_(* &quot;-&quot;_);_(@_)">
                  <c:v>255312.5198002159</c:v>
                </c:pt>
                <c:pt idx="70" formatCode="_(* #,##0_);_(* \(#,##0\);_(* &quot;-&quot;_);_(@_)">
                  <c:v>322205.32447678549</c:v>
                </c:pt>
              </c:numCache>
            </c:numRef>
          </c:cat>
          <c:val>
            <c:numRef>
              <c:f>Graphs!$Q$75:$Q$145</c:f>
              <c:numCache>
                <c:formatCode>_(* #,##0.00_);_(* \(#,##0.00\);_(* "-"??_);_(@_)</c:formatCode>
                <c:ptCount val="71"/>
                <c:pt idx="32" formatCode="&quot;FY&quot;\ yy">
                  <c:v>51135</c:v>
                </c:pt>
                <c:pt idx="33" formatCode="_(&quot;$&quot;* #,##0_);_(&quot;$&quot;* \(#,##0\);_(&quot;$&quot;* &quot;-&quot;_);_(@_)">
                  <c:v>63284.678147543236</c:v>
                </c:pt>
                <c:pt idx="34" formatCode="_(* #,##0_);_(* \(#,##0\);_(* &quot;-&quot;_);_(@_)">
                  <c:v>137288.36387052119</c:v>
                </c:pt>
                <c:pt idx="35" formatCode="_(* #,##0_);_(* \(#,##0\);_(* &quot;-&quot;_);_(@_)">
                  <c:v>78861.014605523596</c:v>
                </c:pt>
                <c:pt idx="67" formatCode="&quot;FY&quot;\ yy">
                  <c:v>51135</c:v>
                </c:pt>
                <c:pt idx="68" formatCode="_(* #,##0_);_(* \(#,##0\);_(* &quot;-&quot;_);_(@_)">
                  <c:v>213957.11754944568</c:v>
                </c:pt>
                <c:pt idx="69" formatCode="_(* #,##0_);_(* \(#,##0\);_(* &quot;-&quot;_);_(@_)">
                  <c:v>279434.05662358803</c:v>
                </c:pt>
                <c:pt idx="70" formatCode="_(* #,##0_);_(* \(#,##0\);_(* &quot;-&quot;_);_(@_)">
                  <c:v>356509.32964026264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Graphs!#REF!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4B0D-4390-85A9-1365C5FCD4BF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Graphs!$P$75:$P$145</c:f>
              <c:numCache>
                <c:formatCode>yyyy\-mm\-dd</c:formatCode>
                <c:ptCount val="71"/>
                <c:pt idx="32" formatCode="&quot;FY&quot;\ yy">
                  <c:v>50770</c:v>
                </c:pt>
                <c:pt idx="33" formatCode="_(&quot;$&quot;* #,##0_);_(&quot;$&quot;* \(#,##0\);_(&quot;$&quot;* &quot;-&quot;_);_(@_)">
                  <c:v>60586.839090106951</c:v>
                </c:pt>
                <c:pt idx="34" formatCode="_(* #,##0_);_(* \(#,##0\);_(* &quot;-&quot;_);_(@_)">
                  <c:v>126420.96174968385</c:v>
                </c:pt>
                <c:pt idx="35" formatCode="_(* #,##0_);_(* \(#,##0\);_(* &quot;-&quot;_);_(@_)">
                  <c:v>68304.718960425103</c:v>
                </c:pt>
                <c:pt idx="67" formatCode="&quot;FY&quot;\ yy">
                  <c:v>50770</c:v>
                </c:pt>
                <c:pt idx="68" formatCode="_(* #,##0_);_(* \(#,##0\);_(* &quot;-&quot;_);_(@_)">
                  <c:v>197697.98127971255</c:v>
                </c:pt>
                <c:pt idx="69" formatCode="_(* #,##0_);_(* \(#,##0\);_(* &quot;-&quot;_);_(@_)">
                  <c:v>255312.5198002159</c:v>
                </c:pt>
                <c:pt idx="70" formatCode="_(* #,##0_);_(* \(#,##0\);_(* &quot;-&quot;_);_(@_)">
                  <c:v>322205.32447678549</c:v>
                </c:pt>
              </c:numCache>
            </c:numRef>
          </c:cat>
          <c:val>
            <c:numRef>
              <c:f>Graphs!$R$75:$R$145</c:f>
              <c:numCache>
                <c:formatCode>#,##0</c:formatCode>
                <c:ptCount val="71"/>
                <c:pt idx="32" formatCode="&quot;FY&quot;\ yy">
                  <c:v>51501</c:v>
                </c:pt>
                <c:pt idx="33" formatCode="_(&quot;$&quot;* #,##0_);_(&quot;$&quot;* \(#,##0\);_(&quot;$&quot;* &quot;-&quot;_);_(@_)">
                  <c:v>65828.018259813689</c:v>
                </c:pt>
                <c:pt idx="34" formatCode="_(* #,##0_);_(* \(#,##0\);_(* &quot;-&quot;_);_(@_)">
                  <c:v>148966.24688621244</c:v>
                </c:pt>
                <c:pt idx="35" formatCode="_(* #,##0_);_(* \(#,##0\);_(* &quot;-&quot;_);_(@_)">
                  <c:v>90077.191707756298</c:v>
                </c:pt>
                <c:pt idx="67" formatCode="&quot;FY&quot;\ yy">
                  <c:v>51501</c:v>
                </c:pt>
                <c:pt idx="68" formatCode="_(* #,##0_);_(* \(#,##0\);_(* &quot;-&quot;_);_(@_)">
                  <c:v>231047.88274529087</c:v>
                </c:pt>
                <c:pt idx="69" formatCode="_(* #,##0_);_(* \(#,##0\);_(* &quot;-&quot;_);_(@_)">
                  <c:v>304871.45685378241</c:v>
                </c:pt>
                <c:pt idx="70" formatCode="_(* #,##0_);_(* \(#,##0\);_(* &quot;-&quot;_);_(@_)">
                  <c:v>392825.98384279991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Graphs!#REF!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4B0D-4390-85A9-1365C5FCD4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9592128"/>
        <c:axId val="559589176"/>
      </c:barChart>
      <c:catAx>
        <c:axId val="559592128"/>
        <c:scaling>
          <c:orientation val="minMax"/>
        </c:scaling>
        <c:delete val="0"/>
        <c:axPos val="b"/>
        <c:numFmt formatCode="yyyy\-mm\-dd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589176"/>
        <c:crosses val="autoZero"/>
        <c:auto val="1"/>
        <c:lblAlgn val="ctr"/>
        <c:lblOffset val="100"/>
        <c:noMultiLvlLbl val="0"/>
      </c:catAx>
      <c:valAx>
        <c:axId val="559589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592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Graphs!$P$75:$P$145</c:f>
              <c:numCache>
                <c:formatCode>yyyy\-mm\-dd</c:formatCode>
                <c:ptCount val="71"/>
                <c:pt idx="32" formatCode="&quot;FY&quot;\ yy">
                  <c:v>50770</c:v>
                </c:pt>
                <c:pt idx="33" formatCode="_(&quot;$&quot;* #,##0_);_(&quot;$&quot;* \(#,##0\);_(&quot;$&quot;* &quot;-&quot;_);_(@_)">
                  <c:v>60586.839090106951</c:v>
                </c:pt>
                <c:pt idx="34" formatCode="_(* #,##0_);_(* \(#,##0\);_(* &quot;-&quot;_);_(@_)">
                  <c:v>126420.96174968385</c:v>
                </c:pt>
                <c:pt idx="35" formatCode="_(* #,##0_);_(* \(#,##0\);_(* &quot;-&quot;_);_(@_)">
                  <c:v>68304.718960425103</c:v>
                </c:pt>
                <c:pt idx="67" formatCode="&quot;FY&quot;\ yy">
                  <c:v>50770</c:v>
                </c:pt>
                <c:pt idx="68" formatCode="_(* #,##0_);_(* \(#,##0\);_(* &quot;-&quot;_);_(@_)">
                  <c:v>197697.98127971255</c:v>
                </c:pt>
                <c:pt idx="69" formatCode="_(* #,##0_);_(* \(#,##0\);_(* &quot;-&quot;_);_(@_)">
                  <c:v>255312.5198002159</c:v>
                </c:pt>
                <c:pt idx="70" formatCode="_(* #,##0_);_(* \(#,##0\);_(* &quot;-&quot;_);_(@_)">
                  <c:v>322205.32447678549</c:v>
                </c:pt>
              </c:numCache>
            </c:numRef>
          </c:cat>
          <c:val>
            <c:numRef>
              <c:f>Graphs!$Q$75:$Q$145</c:f>
              <c:numCache>
                <c:formatCode>_(* #,##0.00_);_(* \(#,##0.00\);_(* "-"??_);_(@_)</c:formatCode>
                <c:ptCount val="71"/>
                <c:pt idx="32" formatCode="&quot;FY&quot;\ yy">
                  <c:v>51135</c:v>
                </c:pt>
                <c:pt idx="33" formatCode="_(&quot;$&quot;* #,##0_);_(&quot;$&quot;* \(#,##0\);_(&quot;$&quot;* &quot;-&quot;_);_(@_)">
                  <c:v>63284.678147543236</c:v>
                </c:pt>
                <c:pt idx="34" formatCode="_(* #,##0_);_(* \(#,##0\);_(* &quot;-&quot;_);_(@_)">
                  <c:v>137288.36387052119</c:v>
                </c:pt>
                <c:pt idx="35" formatCode="_(* #,##0_);_(* \(#,##0\);_(* &quot;-&quot;_);_(@_)">
                  <c:v>78861.014605523596</c:v>
                </c:pt>
                <c:pt idx="67" formatCode="&quot;FY&quot;\ yy">
                  <c:v>51135</c:v>
                </c:pt>
                <c:pt idx="68" formatCode="_(* #,##0_);_(* \(#,##0\);_(* &quot;-&quot;_);_(@_)">
                  <c:v>213957.11754944568</c:v>
                </c:pt>
                <c:pt idx="69" formatCode="_(* #,##0_);_(* \(#,##0\);_(* &quot;-&quot;_);_(@_)">
                  <c:v>279434.05662358803</c:v>
                </c:pt>
                <c:pt idx="70" formatCode="_(* #,##0_);_(* \(#,##0\);_(* &quot;-&quot;_);_(@_)">
                  <c:v>356509.32964026264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Graphs!#REF!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76CF-4C36-AC54-77A702F2CAFF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Graphs!$P$75:$P$145</c:f>
              <c:numCache>
                <c:formatCode>yyyy\-mm\-dd</c:formatCode>
                <c:ptCount val="71"/>
                <c:pt idx="32" formatCode="&quot;FY&quot;\ yy">
                  <c:v>50770</c:v>
                </c:pt>
                <c:pt idx="33" formatCode="_(&quot;$&quot;* #,##0_);_(&quot;$&quot;* \(#,##0\);_(&quot;$&quot;* &quot;-&quot;_);_(@_)">
                  <c:v>60586.839090106951</c:v>
                </c:pt>
                <c:pt idx="34" formatCode="_(* #,##0_);_(* \(#,##0\);_(* &quot;-&quot;_);_(@_)">
                  <c:v>126420.96174968385</c:v>
                </c:pt>
                <c:pt idx="35" formatCode="_(* #,##0_);_(* \(#,##0\);_(* &quot;-&quot;_);_(@_)">
                  <c:v>68304.718960425103</c:v>
                </c:pt>
                <c:pt idx="67" formatCode="&quot;FY&quot;\ yy">
                  <c:v>50770</c:v>
                </c:pt>
                <c:pt idx="68" formatCode="_(* #,##0_);_(* \(#,##0\);_(* &quot;-&quot;_);_(@_)">
                  <c:v>197697.98127971255</c:v>
                </c:pt>
                <c:pt idx="69" formatCode="_(* #,##0_);_(* \(#,##0\);_(* &quot;-&quot;_);_(@_)">
                  <c:v>255312.5198002159</c:v>
                </c:pt>
                <c:pt idx="70" formatCode="_(* #,##0_);_(* \(#,##0\);_(* &quot;-&quot;_);_(@_)">
                  <c:v>322205.32447678549</c:v>
                </c:pt>
              </c:numCache>
            </c:numRef>
          </c:cat>
          <c:val>
            <c:numRef>
              <c:f>Graphs!$R$75:$R$145</c:f>
              <c:numCache>
                <c:formatCode>#,##0</c:formatCode>
                <c:ptCount val="71"/>
                <c:pt idx="32" formatCode="&quot;FY&quot;\ yy">
                  <c:v>51501</c:v>
                </c:pt>
                <c:pt idx="33" formatCode="_(&quot;$&quot;* #,##0_);_(&quot;$&quot;* \(#,##0\);_(&quot;$&quot;* &quot;-&quot;_);_(@_)">
                  <c:v>65828.018259813689</c:v>
                </c:pt>
                <c:pt idx="34" formatCode="_(* #,##0_);_(* \(#,##0\);_(* &quot;-&quot;_);_(@_)">
                  <c:v>148966.24688621244</c:v>
                </c:pt>
                <c:pt idx="35" formatCode="_(* #,##0_);_(* \(#,##0\);_(* &quot;-&quot;_);_(@_)">
                  <c:v>90077.191707756298</c:v>
                </c:pt>
                <c:pt idx="67" formatCode="&quot;FY&quot;\ yy">
                  <c:v>51501</c:v>
                </c:pt>
                <c:pt idx="68" formatCode="_(* #,##0_);_(* \(#,##0\);_(* &quot;-&quot;_);_(@_)">
                  <c:v>231047.88274529087</c:v>
                </c:pt>
                <c:pt idx="69" formatCode="_(* #,##0_);_(* \(#,##0\);_(* &quot;-&quot;_);_(@_)">
                  <c:v>304871.45685378241</c:v>
                </c:pt>
                <c:pt idx="70" formatCode="_(* #,##0_);_(* \(#,##0\);_(* &quot;-&quot;_);_(@_)">
                  <c:v>392825.98384279991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Graphs!#REF!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76CF-4C36-AC54-77A702F2CA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04067552"/>
        <c:axId val="904069520"/>
      </c:barChart>
      <c:catAx>
        <c:axId val="904067552"/>
        <c:scaling>
          <c:orientation val="minMax"/>
        </c:scaling>
        <c:delete val="0"/>
        <c:axPos val="b"/>
        <c:numFmt formatCode="yyyy\-mm\-dd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4069520"/>
        <c:crosses val="autoZero"/>
        <c:auto val="1"/>
        <c:lblAlgn val="ctr"/>
        <c:lblOffset val="100"/>
        <c:noMultiLvlLbl val="0"/>
      </c:catAx>
      <c:valAx>
        <c:axId val="90406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4067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Graphs!$P$75:$P$145</c:f>
              <c:numCache>
                <c:formatCode>yyyy\-mm\-dd</c:formatCode>
                <c:ptCount val="71"/>
                <c:pt idx="32" formatCode="&quot;FY&quot;\ yy">
                  <c:v>50770</c:v>
                </c:pt>
                <c:pt idx="33" formatCode="_(&quot;$&quot;* #,##0_);_(&quot;$&quot;* \(#,##0\);_(&quot;$&quot;* &quot;-&quot;_);_(@_)">
                  <c:v>60586.839090106951</c:v>
                </c:pt>
                <c:pt idx="34" formatCode="_(* #,##0_);_(* \(#,##0\);_(* &quot;-&quot;_);_(@_)">
                  <c:v>126420.96174968385</c:v>
                </c:pt>
                <c:pt idx="35" formatCode="_(* #,##0_);_(* \(#,##0\);_(* &quot;-&quot;_);_(@_)">
                  <c:v>68304.718960425103</c:v>
                </c:pt>
                <c:pt idx="67" formatCode="&quot;FY&quot;\ yy">
                  <c:v>50770</c:v>
                </c:pt>
                <c:pt idx="68" formatCode="_(* #,##0_);_(* \(#,##0\);_(* &quot;-&quot;_);_(@_)">
                  <c:v>197697.98127971255</c:v>
                </c:pt>
                <c:pt idx="69" formatCode="_(* #,##0_);_(* \(#,##0\);_(* &quot;-&quot;_);_(@_)">
                  <c:v>255312.5198002159</c:v>
                </c:pt>
                <c:pt idx="70" formatCode="_(* #,##0_);_(* \(#,##0\);_(* &quot;-&quot;_);_(@_)">
                  <c:v>322205.32447678549</c:v>
                </c:pt>
              </c:numCache>
            </c:numRef>
          </c:cat>
          <c:val>
            <c:numRef>
              <c:f>Graphs!$Q$75:$Q$145</c:f>
              <c:numCache>
                <c:formatCode>_(* #,##0.00_);_(* \(#,##0.00\);_(* "-"??_);_(@_)</c:formatCode>
                <c:ptCount val="71"/>
                <c:pt idx="32" formatCode="&quot;FY&quot;\ yy">
                  <c:v>51135</c:v>
                </c:pt>
                <c:pt idx="33" formatCode="_(&quot;$&quot;* #,##0_);_(&quot;$&quot;* \(#,##0\);_(&quot;$&quot;* &quot;-&quot;_);_(@_)">
                  <c:v>63284.678147543236</c:v>
                </c:pt>
                <c:pt idx="34" formatCode="_(* #,##0_);_(* \(#,##0\);_(* &quot;-&quot;_);_(@_)">
                  <c:v>137288.36387052119</c:v>
                </c:pt>
                <c:pt idx="35" formatCode="_(* #,##0_);_(* \(#,##0\);_(* &quot;-&quot;_);_(@_)">
                  <c:v>78861.014605523596</c:v>
                </c:pt>
                <c:pt idx="67" formatCode="&quot;FY&quot;\ yy">
                  <c:v>51135</c:v>
                </c:pt>
                <c:pt idx="68" formatCode="_(* #,##0_);_(* \(#,##0\);_(* &quot;-&quot;_);_(@_)">
                  <c:v>213957.11754944568</c:v>
                </c:pt>
                <c:pt idx="69" formatCode="_(* #,##0_);_(* \(#,##0\);_(* &quot;-&quot;_);_(@_)">
                  <c:v>279434.05662358803</c:v>
                </c:pt>
                <c:pt idx="70" formatCode="_(* #,##0_);_(* \(#,##0\);_(* &quot;-&quot;_);_(@_)">
                  <c:v>356509.32964026264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Graphs!#REF!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A91D-4205-9419-8A5FC9B51D8E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Graphs!$P$75:$P$145</c:f>
              <c:numCache>
                <c:formatCode>yyyy\-mm\-dd</c:formatCode>
                <c:ptCount val="71"/>
                <c:pt idx="32" formatCode="&quot;FY&quot;\ yy">
                  <c:v>50770</c:v>
                </c:pt>
                <c:pt idx="33" formatCode="_(&quot;$&quot;* #,##0_);_(&quot;$&quot;* \(#,##0\);_(&quot;$&quot;* &quot;-&quot;_);_(@_)">
                  <c:v>60586.839090106951</c:v>
                </c:pt>
                <c:pt idx="34" formatCode="_(* #,##0_);_(* \(#,##0\);_(* &quot;-&quot;_);_(@_)">
                  <c:v>126420.96174968385</c:v>
                </c:pt>
                <c:pt idx="35" formatCode="_(* #,##0_);_(* \(#,##0\);_(* &quot;-&quot;_);_(@_)">
                  <c:v>68304.718960425103</c:v>
                </c:pt>
                <c:pt idx="67" formatCode="&quot;FY&quot;\ yy">
                  <c:v>50770</c:v>
                </c:pt>
                <c:pt idx="68" formatCode="_(* #,##0_);_(* \(#,##0\);_(* &quot;-&quot;_);_(@_)">
                  <c:v>197697.98127971255</c:v>
                </c:pt>
                <c:pt idx="69" formatCode="_(* #,##0_);_(* \(#,##0\);_(* &quot;-&quot;_);_(@_)">
                  <c:v>255312.5198002159</c:v>
                </c:pt>
                <c:pt idx="70" formatCode="_(* #,##0_);_(* \(#,##0\);_(* &quot;-&quot;_);_(@_)">
                  <c:v>322205.32447678549</c:v>
                </c:pt>
              </c:numCache>
            </c:numRef>
          </c:cat>
          <c:val>
            <c:numRef>
              <c:f>Graphs!$R$75:$R$145</c:f>
              <c:numCache>
                <c:formatCode>#,##0</c:formatCode>
                <c:ptCount val="71"/>
                <c:pt idx="32" formatCode="&quot;FY&quot;\ yy">
                  <c:v>51501</c:v>
                </c:pt>
                <c:pt idx="33" formatCode="_(&quot;$&quot;* #,##0_);_(&quot;$&quot;* \(#,##0\);_(&quot;$&quot;* &quot;-&quot;_);_(@_)">
                  <c:v>65828.018259813689</c:v>
                </c:pt>
                <c:pt idx="34" formatCode="_(* #,##0_);_(* \(#,##0\);_(* &quot;-&quot;_);_(@_)">
                  <c:v>148966.24688621244</c:v>
                </c:pt>
                <c:pt idx="35" formatCode="_(* #,##0_);_(* \(#,##0\);_(* &quot;-&quot;_);_(@_)">
                  <c:v>90077.191707756298</c:v>
                </c:pt>
                <c:pt idx="67" formatCode="&quot;FY&quot;\ yy">
                  <c:v>51501</c:v>
                </c:pt>
                <c:pt idx="68" formatCode="_(* #,##0_);_(* \(#,##0\);_(* &quot;-&quot;_);_(@_)">
                  <c:v>231047.88274529087</c:v>
                </c:pt>
                <c:pt idx="69" formatCode="_(* #,##0_);_(* \(#,##0\);_(* &quot;-&quot;_);_(@_)">
                  <c:v>304871.45685378241</c:v>
                </c:pt>
                <c:pt idx="70" formatCode="_(* #,##0_);_(* \(#,##0\);_(* &quot;-&quot;_);_(@_)">
                  <c:v>392825.98384279991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Graphs!#REF!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A91D-4205-9419-8A5FC9B51D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1005952"/>
        <c:axId val="1103692528"/>
      </c:barChart>
      <c:catAx>
        <c:axId val="561005952"/>
        <c:scaling>
          <c:orientation val="minMax"/>
        </c:scaling>
        <c:delete val="0"/>
        <c:axPos val="b"/>
        <c:numFmt formatCode="yyyy\-mm\-dd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3692528"/>
        <c:crosses val="autoZero"/>
        <c:auto val="1"/>
        <c:lblAlgn val="ctr"/>
        <c:lblOffset val="100"/>
        <c:noMultiLvlLbl val="0"/>
      </c:catAx>
      <c:valAx>
        <c:axId val="1103692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005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Graphs!$P$75:$P$145</c:f>
              <c:numCache>
                <c:formatCode>yyyy\-mm\-dd</c:formatCode>
                <c:ptCount val="71"/>
                <c:pt idx="32" formatCode="&quot;FY&quot;\ yy">
                  <c:v>50770</c:v>
                </c:pt>
                <c:pt idx="33" formatCode="_(&quot;$&quot;* #,##0_);_(&quot;$&quot;* \(#,##0\);_(&quot;$&quot;* &quot;-&quot;_);_(@_)">
                  <c:v>60586.839090106951</c:v>
                </c:pt>
                <c:pt idx="34" formatCode="_(* #,##0_);_(* \(#,##0\);_(* &quot;-&quot;_);_(@_)">
                  <c:v>126420.96174968385</c:v>
                </c:pt>
                <c:pt idx="35" formatCode="_(* #,##0_);_(* \(#,##0\);_(* &quot;-&quot;_);_(@_)">
                  <c:v>68304.718960425103</c:v>
                </c:pt>
                <c:pt idx="67" formatCode="&quot;FY&quot;\ yy">
                  <c:v>50770</c:v>
                </c:pt>
                <c:pt idx="68" formatCode="_(* #,##0_);_(* \(#,##0\);_(* &quot;-&quot;_);_(@_)">
                  <c:v>197697.98127971255</c:v>
                </c:pt>
                <c:pt idx="69" formatCode="_(* #,##0_);_(* \(#,##0\);_(* &quot;-&quot;_);_(@_)">
                  <c:v>255312.5198002159</c:v>
                </c:pt>
                <c:pt idx="70" formatCode="_(* #,##0_);_(* \(#,##0\);_(* &quot;-&quot;_);_(@_)">
                  <c:v>322205.32447678549</c:v>
                </c:pt>
              </c:numCache>
            </c:numRef>
          </c:cat>
          <c:val>
            <c:numRef>
              <c:f>Graphs!$R$75:$R$145</c:f>
              <c:numCache>
                <c:formatCode>#,##0</c:formatCode>
                <c:ptCount val="71"/>
                <c:pt idx="32" formatCode="&quot;FY&quot;\ yy">
                  <c:v>51501</c:v>
                </c:pt>
                <c:pt idx="33" formatCode="_(&quot;$&quot;* #,##0_);_(&quot;$&quot;* \(#,##0\);_(&quot;$&quot;* &quot;-&quot;_);_(@_)">
                  <c:v>65828.018259813689</c:v>
                </c:pt>
                <c:pt idx="34" formatCode="_(* #,##0_);_(* \(#,##0\);_(* &quot;-&quot;_);_(@_)">
                  <c:v>148966.24688621244</c:v>
                </c:pt>
                <c:pt idx="35" formatCode="_(* #,##0_);_(* \(#,##0\);_(* &quot;-&quot;_);_(@_)">
                  <c:v>90077.191707756298</c:v>
                </c:pt>
                <c:pt idx="67" formatCode="&quot;FY&quot;\ yy">
                  <c:v>51501</c:v>
                </c:pt>
                <c:pt idx="68" formatCode="_(* #,##0_);_(* \(#,##0\);_(* &quot;-&quot;_);_(@_)">
                  <c:v>231047.88274529087</c:v>
                </c:pt>
                <c:pt idx="69" formatCode="_(* #,##0_);_(* \(#,##0\);_(* &quot;-&quot;_);_(@_)">
                  <c:v>304871.45685378241</c:v>
                </c:pt>
                <c:pt idx="70" formatCode="_(* #,##0_);_(* \(#,##0\);_(* &quot;-&quot;_);_(@_)">
                  <c:v>392825.98384279991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Graphs!#REF!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961A-411D-AB5B-79117DDB7C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889299888"/>
        <c:axId val="625493056"/>
      </c:barChar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Graphs!$P$75:$P$145</c:f>
              <c:numCache>
                <c:formatCode>yyyy\-mm\-dd</c:formatCode>
                <c:ptCount val="71"/>
                <c:pt idx="32" formatCode="&quot;FY&quot;\ yy">
                  <c:v>50770</c:v>
                </c:pt>
                <c:pt idx="33" formatCode="_(&quot;$&quot;* #,##0_);_(&quot;$&quot;* \(#,##0\);_(&quot;$&quot;* &quot;-&quot;_);_(@_)">
                  <c:v>60586.839090106951</c:v>
                </c:pt>
                <c:pt idx="34" formatCode="_(* #,##0_);_(* \(#,##0\);_(* &quot;-&quot;_);_(@_)">
                  <c:v>126420.96174968385</c:v>
                </c:pt>
                <c:pt idx="35" formatCode="_(* #,##0_);_(* \(#,##0\);_(* &quot;-&quot;_);_(@_)">
                  <c:v>68304.718960425103</c:v>
                </c:pt>
                <c:pt idx="67" formatCode="&quot;FY&quot;\ yy">
                  <c:v>50770</c:v>
                </c:pt>
                <c:pt idx="68" formatCode="_(* #,##0_);_(* \(#,##0\);_(* &quot;-&quot;_);_(@_)">
                  <c:v>197697.98127971255</c:v>
                </c:pt>
                <c:pt idx="69" formatCode="_(* #,##0_);_(* \(#,##0\);_(* &quot;-&quot;_);_(@_)">
                  <c:v>255312.5198002159</c:v>
                </c:pt>
                <c:pt idx="70" formatCode="_(* #,##0_);_(* \(#,##0\);_(* &quot;-&quot;_);_(@_)">
                  <c:v>322205.32447678549</c:v>
                </c:pt>
              </c:numCache>
            </c:numRef>
          </c:cat>
          <c:val>
            <c:numRef>
              <c:f>Graphs!$Q$75:$Q$145</c:f>
              <c:numCache>
                <c:formatCode>_(* #,##0.00_);_(* \(#,##0.00\);_(* "-"??_);_(@_)</c:formatCode>
                <c:ptCount val="71"/>
                <c:pt idx="32" formatCode="&quot;FY&quot;\ yy">
                  <c:v>51135</c:v>
                </c:pt>
                <c:pt idx="33" formatCode="_(&quot;$&quot;* #,##0_);_(&quot;$&quot;* \(#,##0\);_(&quot;$&quot;* &quot;-&quot;_);_(@_)">
                  <c:v>63284.678147543236</c:v>
                </c:pt>
                <c:pt idx="34" formatCode="_(* #,##0_);_(* \(#,##0\);_(* &quot;-&quot;_);_(@_)">
                  <c:v>137288.36387052119</c:v>
                </c:pt>
                <c:pt idx="35" formatCode="_(* #,##0_);_(* \(#,##0\);_(* &quot;-&quot;_);_(@_)">
                  <c:v>78861.014605523596</c:v>
                </c:pt>
                <c:pt idx="67" formatCode="&quot;FY&quot;\ yy">
                  <c:v>51135</c:v>
                </c:pt>
                <c:pt idx="68" formatCode="_(* #,##0_);_(* \(#,##0\);_(* &quot;-&quot;_);_(@_)">
                  <c:v>213957.11754944568</c:v>
                </c:pt>
                <c:pt idx="69" formatCode="_(* #,##0_);_(* \(#,##0\);_(* &quot;-&quot;_);_(@_)">
                  <c:v>279434.05662358803</c:v>
                </c:pt>
                <c:pt idx="70" formatCode="_(* #,##0_);_(* \(#,##0\);_(* &quot;-&quot;_);_(@_)">
                  <c:v>356509.32964026264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Graphs!#REF!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961A-411D-AB5B-79117DDB7C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3076488"/>
        <c:axId val="623072880"/>
      </c:lineChart>
      <c:catAx>
        <c:axId val="623076488"/>
        <c:scaling>
          <c:orientation val="minMax"/>
        </c:scaling>
        <c:delete val="0"/>
        <c:axPos val="b"/>
        <c:numFmt formatCode="yyyy\-mm\-dd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3072880"/>
        <c:crosses val="autoZero"/>
        <c:auto val="0"/>
        <c:lblAlgn val="ctr"/>
        <c:lblOffset val="100"/>
        <c:tickLblSkip val="25"/>
        <c:tickMarkSkip val="25"/>
        <c:noMultiLvlLbl val="0"/>
      </c:catAx>
      <c:valAx>
        <c:axId val="623072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3076488"/>
        <c:crosses val="autoZero"/>
        <c:crossBetween val="between"/>
      </c:valAx>
      <c:valAx>
        <c:axId val="625493056"/>
        <c:scaling>
          <c:orientation val="minMax"/>
        </c:scaling>
        <c:delete val="0"/>
        <c:axPos val="r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9299888"/>
        <c:crosses val="max"/>
        <c:crossBetween val="between"/>
      </c:valAx>
      <c:catAx>
        <c:axId val="889299888"/>
        <c:scaling>
          <c:orientation val="minMax"/>
        </c:scaling>
        <c:delete val="1"/>
        <c:axPos val="b"/>
        <c:numFmt formatCode="yyyy\-mm\-dd" sourceLinked="1"/>
        <c:majorTickMark val="out"/>
        <c:minorTickMark val="none"/>
        <c:tickLblPos val="nextTo"/>
        <c:crossAx val="62549305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Graphs!$P$75:$P$145</c:f>
              <c:numCache>
                <c:formatCode>yyyy\-mm\-dd</c:formatCode>
                <c:ptCount val="71"/>
                <c:pt idx="32" formatCode="&quot;FY&quot;\ yy">
                  <c:v>50770</c:v>
                </c:pt>
                <c:pt idx="33" formatCode="_(&quot;$&quot;* #,##0_);_(&quot;$&quot;* \(#,##0\);_(&quot;$&quot;* &quot;-&quot;_);_(@_)">
                  <c:v>60586.839090106951</c:v>
                </c:pt>
                <c:pt idx="34" formatCode="_(* #,##0_);_(* \(#,##0\);_(* &quot;-&quot;_);_(@_)">
                  <c:v>126420.96174968385</c:v>
                </c:pt>
                <c:pt idx="35" formatCode="_(* #,##0_);_(* \(#,##0\);_(* &quot;-&quot;_);_(@_)">
                  <c:v>68304.718960425103</c:v>
                </c:pt>
                <c:pt idx="67" formatCode="&quot;FY&quot;\ yy">
                  <c:v>50770</c:v>
                </c:pt>
                <c:pt idx="68" formatCode="_(* #,##0_);_(* \(#,##0\);_(* &quot;-&quot;_);_(@_)">
                  <c:v>197697.98127971255</c:v>
                </c:pt>
                <c:pt idx="69" formatCode="_(* #,##0_);_(* \(#,##0\);_(* &quot;-&quot;_);_(@_)">
                  <c:v>255312.5198002159</c:v>
                </c:pt>
                <c:pt idx="70" formatCode="_(* #,##0_);_(* \(#,##0\);_(* &quot;-&quot;_);_(@_)">
                  <c:v>322205.32447678549</c:v>
                </c:pt>
              </c:numCache>
            </c:numRef>
          </c:cat>
          <c:val>
            <c:numRef>
              <c:f>Graphs!$R$75:$R$145</c:f>
              <c:numCache>
                <c:formatCode>#,##0</c:formatCode>
                <c:ptCount val="71"/>
                <c:pt idx="32" formatCode="&quot;FY&quot;\ yy">
                  <c:v>51501</c:v>
                </c:pt>
                <c:pt idx="33" formatCode="_(&quot;$&quot;* #,##0_);_(&quot;$&quot;* \(#,##0\);_(&quot;$&quot;* &quot;-&quot;_);_(@_)">
                  <c:v>65828.018259813689</c:v>
                </c:pt>
                <c:pt idx="34" formatCode="_(* #,##0_);_(* \(#,##0\);_(* &quot;-&quot;_);_(@_)">
                  <c:v>148966.24688621244</c:v>
                </c:pt>
                <c:pt idx="35" formatCode="_(* #,##0_);_(* \(#,##0\);_(* &quot;-&quot;_);_(@_)">
                  <c:v>90077.191707756298</c:v>
                </c:pt>
                <c:pt idx="67" formatCode="&quot;FY&quot;\ yy">
                  <c:v>51501</c:v>
                </c:pt>
                <c:pt idx="68" formatCode="_(* #,##0_);_(* \(#,##0\);_(* &quot;-&quot;_);_(@_)">
                  <c:v>231047.88274529087</c:v>
                </c:pt>
                <c:pt idx="69" formatCode="_(* #,##0_);_(* \(#,##0\);_(* &quot;-&quot;_);_(@_)">
                  <c:v>304871.45685378241</c:v>
                </c:pt>
                <c:pt idx="70" formatCode="_(* #,##0_);_(* \(#,##0\);_(* &quot;-&quot;_);_(@_)">
                  <c:v>392825.98384279991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Graphs!#REF!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D564-445B-97F2-B4A08262B4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629909208"/>
        <c:axId val="623505704"/>
      </c:barChar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Graphs!$P$75:$P$145</c:f>
              <c:numCache>
                <c:formatCode>yyyy\-mm\-dd</c:formatCode>
                <c:ptCount val="71"/>
                <c:pt idx="32" formatCode="&quot;FY&quot;\ yy">
                  <c:v>50770</c:v>
                </c:pt>
                <c:pt idx="33" formatCode="_(&quot;$&quot;* #,##0_);_(&quot;$&quot;* \(#,##0\);_(&quot;$&quot;* &quot;-&quot;_);_(@_)">
                  <c:v>60586.839090106951</c:v>
                </c:pt>
                <c:pt idx="34" formatCode="_(* #,##0_);_(* \(#,##0\);_(* &quot;-&quot;_);_(@_)">
                  <c:v>126420.96174968385</c:v>
                </c:pt>
                <c:pt idx="35" formatCode="_(* #,##0_);_(* \(#,##0\);_(* &quot;-&quot;_);_(@_)">
                  <c:v>68304.718960425103</c:v>
                </c:pt>
                <c:pt idx="67" formatCode="&quot;FY&quot;\ yy">
                  <c:v>50770</c:v>
                </c:pt>
                <c:pt idx="68" formatCode="_(* #,##0_);_(* \(#,##0\);_(* &quot;-&quot;_);_(@_)">
                  <c:v>197697.98127971255</c:v>
                </c:pt>
                <c:pt idx="69" formatCode="_(* #,##0_);_(* \(#,##0\);_(* &quot;-&quot;_);_(@_)">
                  <c:v>255312.5198002159</c:v>
                </c:pt>
                <c:pt idx="70" formatCode="_(* #,##0_);_(* \(#,##0\);_(* &quot;-&quot;_);_(@_)">
                  <c:v>322205.32447678549</c:v>
                </c:pt>
              </c:numCache>
            </c:numRef>
          </c:cat>
          <c:val>
            <c:numRef>
              <c:f>Graphs!$Q$75:$Q$145</c:f>
              <c:numCache>
                <c:formatCode>_(* #,##0.00_);_(* \(#,##0.00\);_(* "-"??_);_(@_)</c:formatCode>
                <c:ptCount val="71"/>
                <c:pt idx="32" formatCode="&quot;FY&quot;\ yy">
                  <c:v>51135</c:v>
                </c:pt>
                <c:pt idx="33" formatCode="_(&quot;$&quot;* #,##0_);_(&quot;$&quot;* \(#,##0\);_(&quot;$&quot;* &quot;-&quot;_);_(@_)">
                  <c:v>63284.678147543236</c:v>
                </c:pt>
                <c:pt idx="34" formatCode="_(* #,##0_);_(* \(#,##0\);_(* &quot;-&quot;_);_(@_)">
                  <c:v>137288.36387052119</c:v>
                </c:pt>
                <c:pt idx="35" formatCode="_(* #,##0_);_(* \(#,##0\);_(* &quot;-&quot;_);_(@_)">
                  <c:v>78861.014605523596</c:v>
                </c:pt>
                <c:pt idx="67" formatCode="&quot;FY&quot;\ yy">
                  <c:v>51135</c:v>
                </c:pt>
                <c:pt idx="68" formatCode="_(* #,##0_);_(* \(#,##0\);_(* &quot;-&quot;_);_(@_)">
                  <c:v>213957.11754944568</c:v>
                </c:pt>
                <c:pt idx="69" formatCode="_(* #,##0_);_(* \(#,##0\);_(* &quot;-&quot;_);_(@_)">
                  <c:v>279434.05662358803</c:v>
                </c:pt>
                <c:pt idx="70" formatCode="_(* #,##0_);_(* \(#,##0\);_(* &quot;-&quot;_);_(@_)">
                  <c:v>356509.32964026264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Graphs!#REF!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D564-445B-97F2-B4A08262B4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2615616"/>
        <c:axId val="174312312"/>
      </c:lineChart>
      <c:catAx>
        <c:axId val="1102615616"/>
        <c:scaling>
          <c:orientation val="minMax"/>
        </c:scaling>
        <c:delete val="0"/>
        <c:axPos val="b"/>
        <c:numFmt formatCode="yyyy\-mm\-dd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312312"/>
        <c:crosses val="autoZero"/>
        <c:auto val="0"/>
        <c:lblAlgn val="ctr"/>
        <c:lblOffset val="100"/>
        <c:tickLblSkip val="25"/>
        <c:tickMarkSkip val="25"/>
        <c:noMultiLvlLbl val="0"/>
      </c:catAx>
      <c:valAx>
        <c:axId val="174312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2615616"/>
        <c:crosses val="autoZero"/>
        <c:crossBetween val="between"/>
      </c:valAx>
      <c:valAx>
        <c:axId val="623505704"/>
        <c:scaling>
          <c:orientation val="minMax"/>
        </c:scaling>
        <c:delete val="0"/>
        <c:axPos val="r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9909208"/>
        <c:crosses val="max"/>
        <c:crossBetween val="between"/>
      </c:valAx>
      <c:catAx>
        <c:axId val="629909208"/>
        <c:scaling>
          <c:orientation val="minMax"/>
        </c:scaling>
        <c:delete val="1"/>
        <c:axPos val="b"/>
        <c:numFmt formatCode="yyyy\-mm\-dd" sourceLinked="1"/>
        <c:majorTickMark val="out"/>
        <c:minorTickMark val="none"/>
        <c:tickLblPos val="nextTo"/>
        <c:crossAx val="62350570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ysClr val="windowText" lastClr="000000"/>
                </a:solidFill>
              </a:rPr>
              <a:t>Revenue Projections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Graphs!$B$143:$C$143</c:f>
              <c:strCache>
                <c:ptCount val="2"/>
                <c:pt idx="0">
                  <c:v>Realistic</c:v>
                </c:pt>
              </c:strCache>
            </c:strRef>
          </c:tx>
          <c:spPr>
            <a:ln w="28575" cap="rnd">
              <a:solidFill>
                <a:srgbClr val="113D63"/>
              </a:solidFill>
              <a:round/>
            </a:ln>
            <a:effectLst/>
          </c:spPr>
          <c:marker>
            <c:symbol val="none"/>
          </c:marker>
          <c:dLbls>
            <c:numFmt formatCode="&quot;$&quot;0,\ \B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Graphs!$D$142:$W$142</c:f>
              <c:numCache>
                <c:formatCode>"FY"\ yy</c:formatCode>
                <c:ptCount val="20"/>
                <c:pt idx="0">
                  <c:v>46387</c:v>
                </c:pt>
                <c:pt idx="1">
                  <c:v>46752</c:v>
                </c:pt>
                <c:pt idx="2">
                  <c:v>47118</c:v>
                </c:pt>
                <c:pt idx="3">
                  <c:v>47483</c:v>
                </c:pt>
                <c:pt idx="4">
                  <c:v>47848</c:v>
                </c:pt>
                <c:pt idx="5">
                  <c:v>48213</c:v>
                </c:pt>
                <c:pt idx="6">
                  <c:v>48579</c:v>
                </c:pt>
                <c:pt idx="7">
                  <c:v>48944</c:v>
                </c:pt>
                <c:pt idx="8">
                  <c:v>49309</c:v>
                </c:pt>
                <c:pt idx="9">
                  <c:v>49674</c:v>
                </c:pt>
                <c:pt idx="10">
                  <c:v>50040</c:v>
                </c:pt>
                <c:pt idx="11">
                  <c:v>50405</c:v>
                </c:pt>
                <c:pt idx="12">
                  <c:v>50770</c:v>
                </c:pt>
                <c:pt idx="13">
                  <c:v>51135</c:v>
                </c:pt>
                <c:pt idx="14">
                  <c:v>51501</c:v>
                </c:pt>
                <c:pt idx="15">
                  <c:v>51866</c:v>
                </c:pt>
                <c:pt idx="16">
                  <c:v>52231</c:v>
                </c:pt>
                <c:pt idx="17">
                  <c:v>52596</c:v>
                </c:pt>
                <c:pt idx="18">
                  <c:v>52962</c:v>
                </c:pt>
                <c:pt idx="19">
                  <c:v>53327</c:v>
                </c:pt>
              </c:numCache>
            </c:numRef>
          </c:cat>
          <c:val>
            <c:numRef>
              <c:f>Graphs!$D$143:$W$143</c:f>
              <c:numCache>
                <c:formatCode>_(* #,##0_);_(* \(#,##0\);_(* "-"_);_(@_)</c:formatCode>
                <c:ptCount val="20"/>
                <c:pt idx="0">
                  <c:v>34665.747385298986</c:v>
                </c:pt>
                <c:pt idx="1">
                  <c:v>55679.957802774828</c:v>
                </c:pt>
                <c:pt idx="2">
                  <c:v>68238.748867613831</c:v>
                </c:pt>
                <c:pt idx="3">
                  <c:v>80779.113328130494</c:v>
                </c:pt>
                <c:pt idx="4">
                  <c:v>91770.170178311979</c:v>
                </c:pt>
                <c:pt idx="5">
                  <c:v>105357.10716238481</c:v>
                </c:pt>
                <c:pt idx="6">
                  <c:v>117431.84076668584</c:v>
                </c:pt>
                <c:pt idx="7">
                  <c:v>129104.2979492708</c:v>
                </c:pt>
                <c:pt idx="8">
                  <c:v>141178.82564983086</c:v>
                </c:pt>
                <c:pt idx="9">
                  <c:v>154047.85665323099</c:v>
                </c:pt>
                <c:pt idx="10">
                  <c:v>167744.86735860686</c:v>
                </c:pt>
                <c:pt idx="11">
                  <c:v>182291.95326204656</c:v>
                </c:pt>
                <c:pt idx="12">
                  <c:v>197697.98127971255</c:v>
                </c:pt>
                <c:pt idx="13">
                  <c:v>213957.11754944568</c:v>
                </c:pt>
                <c:pt idx="14">
                  <c:v>231047.88274529087</c:v>
                </c:pt>
                <c:pt idx="15">
                  <c:v>248932.87993284012</c:v>
                </c:pt>
                <c:pt idx="16">
                  <c:v>267559.32127402909</c:v>
                </c:pt>
                <c:pt idx="17">
                  <c:v>286860.44906017382</c:v>
                </c:pt>
                <c:pt idx="18">
                  <c:v>306757.90425693011</c:v>
                </c:pt>
                <c:pt idx="19">
                  <c:v>327165.04377579392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8C-441E-8083-A8F68707D537}"/>
            </c:ext>
          </c:extLst>
        </c:ser>
        <c:ser>
          <c:idx val="1"/>
          <c:order val="1"/>
          <c:tx>
            <c:strRef>
              <c:f>Graphs!$B$144:$C$144</c:f>
              <c:strCache>
                <c:ptCount val="2"/>
                <c:pt idx="0">
                  <c:v>Optimistic</c:v>
                </c:pt>
              </c:strCache>
            </c:strRef>
          </c:tx>
          <c:spPr>
            <a:ln w="28575" cap="rnd">
              <a:solidFill>
                <a:srgbClr val="5E7C9E"/>
              </a:solidFill>
              <a:round/>
            </a:ln>
            <a:effectLst/>
          </c:spPr>
          <c:marker>
            <c:symbol val="none"/>
          </c:marker>
          <c:dLbls>
            <c:numFmt formatCode="&quot;$&quot;0,\ \B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Graphs!$D$142:$W$142</c:f>
              <c:numCache>
                <c:formatCode>"FY"\ yy</c:formatCode>
                <c:ptCount val="20"/>
                <c:pt idx="0">
                  <c:v>46387</c:v>
                </c:pt>
                <c:pt idx="1">
                  <c:v>46752</c:v>
                </c:pt>
                <c:pt idx="2">
                  <c:v>47118</c:v>
                </c:pt>
                <c:pt idx="3">
                  <c:v>47483</c:v>
                </c:pt>
                <c:pt idx="4">
                  <c:v>47848</c:v>
                </c:pt>
                <c:pt idx="5">
                  <c:v>48213</c:v>
                </c:pt>
                <c:pt idx="6">
                  <c:v>48579</c:v>
                </c:pt>
                <c:pt idx="7">
                  <c:v>48944</c:v>
                </c:pt>
                <c:pt idx="8">
                  <c:v>49309</c:v>
                </c:pt>
                <c:pt idx="9">
                  <c:v>49674</c:v>
                </c:pt>
                <c:pt idx="10">
                  <c:v>50040</c:v>
                </c:pt>
                <c:pt idx="11">
                  <c:v>50405</c:v>
                </c:pt>
                <c:pt idx="12">
                  <c:v>50770</c:v>
                </c:pt>
                <c:pt idx="13">
                  <c:v>51135</c:v>
                </c:pt>
                <c:pt idx="14">
                  <c:v>51501</c:v>
                </c:pt>
                <c:pt idx="15">
                  <c:v>51866</c:v>
                </c:pt>
                <c:pt idx="16">
                  <c:v>52231</c:v>
                </c:pt>
                <c:pt idx="17">
                  <c:v>52596</c:v>
                </c:pt>
                <c:pt idx="18">
                  <c:v>52962</c:v>
                </c:pt>
                <c:pt idx="19">
                  <c:v>53327</c:v>
                </c:pt>
              </c:numCache>
            </c:numRef>
          </c:cat>
          <c:val>
            <c:numRef>
              <c:f>Graphs!$D$144:$W$144</c:f>
              <c:numCache>
                <c:formatCode>_(* #,##0_);_(* \(#,##0\);_(* "-"_);_(@_)</c:formatCode>
                <c:ptCount val="20"/>
                <c:pt idx="0">
                  <c:v>36058.33807691712</c:v>
                </c:pt>
                <c:pt idx="1">
                  <c:v>59648.740724555733</c:v>
                </c:pt>
                <c:pt idx="2">
                  <c:v>75107.787043516655</c:v>
                </c:pt>
                <c:pt idx="3">
                  <c:v>90825.206343353959</c:v>
                </c:pt>
                <c:pt idx="4">
                  <c:v>105246.94022915178</c:v>
                </c:pt>
                <c:pt idx="5">
                  <c:v>122807.83264828261</c:v>
                </c:pt>
                <c:pt idx="6">
                  <c:v>139222.19354509239</c:v>
                </c:pt>
                <c:pt idx="7">
                  <c:v>155596.63021113531</c:v>
                </c:pt>
                <c:pt idx="8">
                  <c:v>172817.84004577025</c:v>
                </c:pt>
                <c:pt idx="9">
                  <c:v>191350.39777848229</c:v>
                </c:pt>
                <c:pt idx="10">
                  <c:v>211257.72731538929</c:v>
                </c:pt>
                <c:pt idx="11">
                  <c:v>232576.73731790672</c:v>
                </c:pt>
                <c:pt idx="12">
                  <c:v>255312.5198002159</c:v>
                </c:pt>
                <c:pt idx="13">
                  <c:v>279434.05662358803</c:v>
                </c:pt>
                <c:pt idx="14">
                  <c:v>304871.45685378241</c:v>
                </c:pt>
                <c:pt idx="15">
                  <c:v>331515.22546860622</c:v>
                </c:pt>
                <c:pt idx="16">
                  <c:v>359217.9895506801</c:v>
                </c:pt>
                <c:pt idx="17">
                  <c:v>387798.97989560099</c:v>
                </c:pt>
                <c:pt idx="18">
                  <c:v>417051.38794988714</c:v>
                </c:pt>
                <c:pt idx="19">
                  <c:v>446752.50082055049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8C-441E-8083-A8F68707D537}"/>
            </c:ext>
          </c:extLst>
        </c:ser>
        <c:ser>
          <c:idx val="2"/>
          <c:order val="2"/>
          <c:tx>
            <c:strRef>
              <c:f>Graphs!$B$145:$C$145</c:f>
              <c:strCache>
                <c:ptCount val="2"/>
                <c:pt idx="0">
                  <c:v>Elon</c:v>
                </c:pt>
              </c:strCache>
            </c:strRef>
          </c:tx>
          <c:spPr>
            <a:ln w="28575" cap="rnd">
              <a:solidFill>
                <a:srgbClr val="485059"/>
              </a:solidFill>
              <a:round/>
            </a:ln>
            <a:effectLst/>
          </c:spPr>
          <c:marker>
            <c:symbol val="none"/>
          </c:marker>
          <c:dLbls>
            <c:numFmt formatCode="&quot;$&quot;0,\ \B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Graphs!$D$142:$W$142</c:f>
              <c:numCache>
                <c:formatCode>"FY"\ yy</c:formatCode>
                <c:ptCount val="20"/>
                <c:pt idx="0">
                  <c:v>46387</c:v>
                </c:pt>
                <c:pt idx="1">
                  <c:v>46752</c:v>
                </c:pt>
                <c:pt idx="2">
                  <c:v>47118</c:v>
                </c:pt>
                <c:pt idx="3">
                  <c:v>47483</c:v>
                </c:pt>
                <c:pt idx="4">
                  <c:v>47848</c:v>
                </c:pt>
                <c:pt idx="5">
                  <c:v>48213</c:v>
                </c:pt>
                <c:pt idx="6">
                  <c:v>48579</c:v>
                </c:pt>
                <c:pt idx="7">
                  <c:v>48944</c:v>
                </c:pt>
                <c:pt idx="8">
                  <c:v>49309</c:v>
                </c:pt>
                <c:pt idx="9">
                  <c:v>49674</c:v>
                </c:pt>
                <c:pt idx="10">
                  <c:v>50040</c:v>
                </c:pt>
                <c:pt idx="11">
                  <c:v>50405</c:v>
                </c:pt>
                <c:pt idx="12">
                  <c:v>50770</c:v>
                </c:pt>
                <c:pt idx="13">
                  <c:v>51135</c:v>
                </c:pt>
                <c:pt idx="14">
                  <c:v>51501</c:v>
                </c:pt>
                <c:pt idx="15">
                  <c:v>51866</c:v>
                </c:pt>
                <c:pt idx="16">
                  <c:v>52231</c:v>
                </c:pt>
                <c:pt idx="17">
                  <c:v>52596</c:v>
                </c:pt>
                <c:pt idx="18">
                  <c:v>52962</c:v>
                </c:pt>
                <c:pt idx="19">
                  <c:v>53327</c:v>
                </c:pt>
              </c:numCache>
            </c:numRef>
          </c:cat>
          <c:val>
            <c:numRef>
              <c:f>Graphs!$D$145:$W$145</c:f>
              <c:numCache>
                <c:formatCode>_(* #,##0_);_(* \(#,##0\);_(* "-"_);_(@_)</c:formatCode>
                <c:ptCount val="20"/>
                <c:pt idx="0">
                  <c:v>37450.928768535254</c:v>
                </c:pt>
                <c:pt idx="1">
                  <c:v>63640.864440297868</c:v>
                </c:pt>
                <c:pt idx="2">
                  <c:v>82063.121177857363</c:v>
                </c:pt>
                <c:pt idx="3">
                  <c:v>101081.57033988526</c:v>
                </c:pt>
                <c:pt idx="4">
                  <c:v>119145.70211847832</c:v>
                </c:pt>
                <c:pt idx="5">
                  <c:v>141011.73292193958</c:v>
                </c:pt>
                <c:pt idx="6">
                  <c:v>162252.05987926252</c:v>
                </c:pt>
                <c:pt idx="7">
                  <c:v>184007.81397825913</c:v>
                </c:pt>
                <c:pt idx="8">
                  <c:v>207285.32364885448</c:v>
                </c:pt>
                <c:pt idx="9">
                  <c:v>232654.45209961236</c:v>
                </c:pt>
                <c:pt idx="10">
                  <c:v>260233.30259772096</c:v>
                </c:pt>
                <c:pt idx="11">
                  <c:v>290085.21483682096</c:v>
                </c:pt>
                <c:pt idx="12">
                  <c:v>322205.32447678549</c:v>
                </c:pt>
                <c:pt idx="13">
                  <c:v>356509.32964026264</c:v>
                </c:pt>
                <c:pt idx="14">
                  <c:v>392825.98384279991</c:v>
                </c:pt>
                <c:pt idx="15">
                  <c:v>430894.79852313513</c:v>
                </c:pt>
                <c:pt idx="16">
                  <c:v>470370.2204242266</c:v>
                </c:pt>
                <c:pt idx="17">
                  <c:v>510833.13841741462</c:v>
                </c:pt>
                <c:pt idx="18">
                  <c:v>551809.98554802453</c:v>
                </c:pt>
                <c:pt idx="19">
                  <c:v>592798.97855375963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8C-441E-8083-A8F68707D5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8772256"/>
        <c:axId val="468772584"/>
      </c:lineChart>
      <c:dateAx>
        <c:axId val="468772256"/>
        <c:scaling>
          <c:orientation val="minMax"/>
        </c:scaling>
        <c:delete val="0"/>
        <c:axPos val="b"/>
        <c:numFmt formatCode="&quot;FY&quot;\ 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8772584"/>
        <c:crosses val="autoZero"/>
        <c:auto val="1"/>
        <c:lblOffset val="100"/>
        <c:baseTimeUnit val="years"/>
      </c:dateAx>
      <c:valAx>
        <c:axId val="468772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0,\ \B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8772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strRef>
          <c:f>Graphs!$B$75</c:f>
          <c:strCache>
            <c:ptCount val="1"/>
            <c:pt idx="0">
              <c:v>Revenue by Segment (Optimistic Case)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Graphs!$B$108</c:f>
              <c:strCache>
                <c:ptCount val="1"/>
                <c:pt idx="0">
                  <c:v>Starlink</c:v>
                </c:pt>
              </c:strCache>
            </c:strRef>
          </c:tx>
          <c:spPr>
            <a:solidFill>
              <a:schemeClr val="accent1">
                <a:shade val="65000"/>
              </a:schemeClr>
            </a:solidFill>
            <a:ln w="25400">
              <a:noFill/>
            </a:ln>
            <a:effectLst/>
          </c:spPr>
          <c:cat>
            <c:numRef>
              <c:f>Graphs!$C$107:$W$107</c:f>
              <c:numCache>
                <c:formatCode>"FY"\ yy</c:formatCode>
                <c:ptCount val="21"/>
                <c:pt idx="1">
                  <c:v>46387</c:v>
                </c:pt>
                <c:pt idx="2">
                  <c:v>46752</c:v>
                </c:pt>
                <c:pt idx="3">
                  <c:v>47118</c:v>
                </c:pt>
                <c:pt idx="4">
                  <c:v>47483</c:v>
                </c:pt>
                <c:pt idx="5">
                  <c:v>47848</c:v>
                </c:pt>
                <c:pt idx="6">
                  <c:v>48213</c:v>
                </c:pt>
                <c:pt idx="7">
                  <c:v>48579</c:v>
                </c:pt>
                <c:pt idx="8">
                  <c:v>48944</c:v>
                </c:pt>
                <c:pt idx="9">
                  <c:v>49309</c:v>
                </c:pt>
                <c:pt idx="10">
                  <c:v>49674</c:v>
                </c:pt>
                <c:pt idx="11">
                  <c:v>50040</c:v>
                </c:pt>
                <c:pt idx="12">
                  <c:v>50405</c:v>
                </c:pt>
                <c:pt idx="13">
                  <c:v>50770</c:v>
                </c:pt>
                <c:pt idx="14">
                  <c:v>51135</c:v>
                </c:pt>
                <c:pt idx="15">
                  <c:v>51501</c:v>
                </c:pt>
                <c:pt idx="16">
                  <c:v>51866</c:v>
                </c:pt>
                <c:pt idx="17">
                  <c:v>52231</c:v>
                </c:pt>
                <c:pt idx="18">
                  <c:v>52596</c:v>
                </c:pt>
                <c:pt idx="19">
                  <c:v>52962</c:v>
                </c:pt>
                <c:pt idx="20">
                  <c:v>53327</c:v>
                </c:pt>
              </c:numCache>
            </c:numRef>
          </c:cat>
          <c:val>
            <c:numRef>
              <c:f>Graphs!$C$108:$W$108</c:f>
              <c:numCache>
                <c:formatCode>_("$"* #,##0_);_("$"* \(#,##0\);_("$"* "-"_);_(@_)</c:formatCode>
                <c:ptCount val="21"/>
                <c:pt idx="1">
                  <c:v>16168.226512376372</c:v>
                </c:pt>
                <c:pt idx="2">
                  <c:v>20925.290945014051</c:v>
                </c:pt>
                <c:pt idx="3">
                  <c:v>25228.436059530719</c:v>
                </c:pt>
                <c:pt idx="4">
                  <c:v>29250.362886308303</c:v>
                </c:pt>
                <c:pt idx="5">
                  <c:v>33131.630137778353</c:v>
                </c:pt>
                <c:pt idx="6">
                  <c:v>36987.208644354287</c:v>
                </c:pt>
                <c:pt idx="7">
                  <c:v>40894.816748194142</c:v>
                </c:pt>
                <c:pt idx="8">
                  <c:v>44616.698926038618</c:v>
                </c:pt>
                <c:pt idx="9">
                  <c:v>48156.82331835771</c:v>
                </c:pt>
                <c:pt idx="10">
                  <c:v>51519.411702551733</c:v>
                </c:pt>
                <c:pt idx="11">
                  <c:v>54708.884697452304</c:v>
                </c:pt>
                <c:pt idx="12">
                  <c:v>57729.807845632764</c:v>
                </c:pt>
                <c:pt idx="13">
                  <c:v>60586.839090106951</c:v>
                </c:pt>
                <c:pt idx="14">
                  <c:v>63284.678147543236</c:v>
                </c:pt>
                <c:pt idx="15">
                  <c:v>65828.018259813689</c:v>
                </c:pt>
                <c:pt idx="16">
                  <c:v>68221.500779622642</c:v>
                </c:pt>
                <c:pt idx="17">
                  <c:v>70469.673014283937</c:v>
                </c:pt>
                <c:pt idx="18">
                  <c:v>72576.949714699847</c:v>
                </c:pt>
                <c:pt idx="19">
                  <c:v>74547.57855457667</c:v>
                </c:pt>
                <c:pt idx="20">
                  <c:v>76385.609898322495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7A-4AD6-99AA-6534F2213C19}"/>
            </c:ext>
          </c:extLst>
        </c:ser>
        <c:ser>
          <c:idx val="1"/>
          <c:order val="1"/>
          <c:tx>
            <c:strRef>
              <c:f>Graphs!$B$109</c:f>
              <c:strCache>
                <c:ptCount val="1"/>
                <c:pt idx="0">
                  <c:v>AI</c:v>
                </c:pt>
              </c:strCache>
            </c:strRef>
          </c:tx>
          <c:spPr>
            <a:solidFill>
              <a:schemeClr val="accent1"/>
            </a:solidFill>
            <a:ln w="25400">
              <a:noFill/>
            </a:ln>
            <a:effectLst/>
          </c:spPr>
          <c:cat>
            <c:numRef>
              <c:f>Graphs!$C$107:$W$107</c:f>
              <c:numCache>
                <c:formatCode>"FY"\ yy</c:formatCode>
                <c:ptCount val="21"/>
                <c:pt idx="1">
                  <c:v>46387</c:v>
                </c:pt>
                <c:pt idx="2">
                  <c:v>46752</c:v>
                </c:pt>
                <c:pt idx="3">
                  <c:v>47118</c:v>
                </c:pt>
                <c:pt idx="4">
                  <c:v>47483</c:v>
                </c:pt>
                <c:pt idx="5">
                  <c:v>47848</c:v>
                </c:pt>
                <c:pt idx="6">
                  <c:v>48213</c:v>
                </c:pt>
                <c:pt idx="7">
                  <c:v>48579</c:v>
                </c:pt>
                <c:pt idx="8">
                  <c:v>48944</c:v>
                </c:pt>
                <c:pt idx="9">
                  <c:v>49309</c:v>
                </c:pt>
                <c:pt idx="10">
                  <c:v>49674</c:v>
                </c:pt>
                <c:pt idx="11">
                  <c:v>50040</c:v>
                </c:pt>
                <c:pt idx="12">
                  <c:v>50405</c:v>
                </c:pt>
                <c:pt idx="13">
                  <c:v>50770</c:v>
                </c:pt>
                <c:pt idx="14">
                  <c:v>51135</c:v>
                </c:pt>
                <c:pt idx="15">
                  <c:v>51501</c:v>
                </c:pt>
                <c:pt idx="16">
                  <c:v>51866</c:v>
                </c:pt>
                <c:pt idx="17">
                  <c:v>52231</c:v>
                </c:pt>
                <c:pt idx="18">
                  <c:v>52596</c:v>
                </c:pt>
                <c:pt idx="19">
                  <c:v>52962</c:v>
                </c:pt>
                <c:pt idx="20">
                  <c:v>53327</c:v>
                </c:pt>
              </c:numCache>
            </c:numRef>
          </c:cat>
          <c:val>
            <c:numRef>
              <c:f>Graphs!$C$109:$W$109</c:f>
              <c:numCache>
                <c:formatCode>_(* #,##0_);_(* \(#,##0\);_(* "-"_);_(@_)</c:formatCode>
                <c:ptCount val="21"/>
                <c:pt idx="1">
                  <c:v>14496.591564540744</c:v>
                </c:pt>
                <c:pt idx="2">
                  <c:v>31674.530003253592</c:v>
                </c:pt>
                <c:pt idx="3">
                  <c:v>40758.7126806503</c:v>
                </c:pt>
                <c:pt idx="4">
                  <c:v>49891.798456530632</c:v>
                </c:pt>
                <c:pt idx="5">
                  <c:v>57300.691222631722</c:v>
                </c:pt>
                <c:pt idx="6">
                  <c:v>67225.302088566124</c:v>
                </c:pt>
                <c:pt idx="7">
                  <c:v>75224.260389964911</c:v>
                </c:pt>
                <c:pt idx="8">
                  <c:v>82570.297829210744</c:v>
                </c:pt>
                <c:pt idx="9">
                  <c:v>90085.941932280257</c:v>
                </c:pt>
                <c:pt idx="10">
                  <c:v>98188.469087598816</c:v>
                </c:pt>
                <c:pt idx="11">
                  <c:v>106916.96073594356</c:v>
                </c:pt>
                <c:pt idx="12">
                  <c:v>116312.99901433002</c:v>
                </c:pt>
                <c:pt idx="13">
                  <c:v>126420.96174968385</c:v>
                </c:pt>
                <c:pt idx="14">
                  <c:v>137288.36387052119</c:v>
                </c:pt>
                <c:pt idx="15">
                  <c:v>148966.24688621244</c:v>
                </c:pt>
                <c:pt idx="16">
                  <c:v>161509.61707555232</c:v>
                </c:pt>
                <c:pt idx="17">
                  <c:v>174977.9319621278</c:v>
                </c:pt>
                <c:pt idx="18">
                  <c:v>189435.63359041282</c:v>
                </c:pt>
                <c:pt idx="19">
                  <c:v>204952.72611650839</c:v>
                </c:pt>
                <c:pt idx="20">
                  <c:v>221605.39435620361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7A-4AD6-99AA-6534F2213C19}"/>
            </c:ext>
          </c:extLst>
        </c:ser>
        <c:ser>
          <c:idx val="2"/>
          <c:order val="2"/>
          <c:tx>
            <c:strRef>
              <c:f>Graphs!$B$110</c:f>
              <c:strCache>
                <c:ptCount val="1"/>
                <c:pt idx="0">
                  <c:v>Space</c:v>
                </c:pt>
              </c:strCache>
            </c:strRef>
          </c:tx>
          <c:spPr>
            <a:solidFill>
              <a:schemeClr val="accent1">
                <a:tint val="65000"/>
              </a:schemeClr>
            </a:solidFill>
            <a:ln w="25400">
              <a:noFill/>
            </a:ln>
            <a:effectLst/>
          </c:spPr>
          <c:cat>
            <c:numRef>
              <c:f>Graphs!$C$107:$W$107</c:f>
              <c:numCache>
                <c:formatCode>"FY"\ yy</c:formatCode>
                <c:ptCount val="21"/>
                <c:pt idx="1">
                  <c:v>46387</c:v>
                </c:pt>
                <c:pt idx="2">
                  <c:v>46752</c:v>
                </c:pt>
                <c:pt idx="3">
                  <c:v>47118</c:v>
                </c:pt>
                <c:pt idx="4">
                  <c:v>47483</c:v>
                </c:pt>
                <c:pt idx="5">
                  <c:v>47848</c:v>
                </c:pt>
                <c:pt idx="6">
                  <c:v>48213</c:v>
                </c:pt>
                <c:pt idx="7">
                  <c:v>48579</c:v>
                </c:pt>
                <c:pt idx="8">
                  <c:v>48944</c:v>
                </c:pt>
                <c:pt idx="9">
                  <c:v>49309</c:v>
                </c:pt>
                <c:pt idx="10">
                  <c:v>49674</c:v>
                </c:pt>
                <c:pt idx="11">
                  <c:v>50040</c:v>
                </c:pt>
                <c:pt idx="12">
                  <c:v>50405</c:v>
                </c:pt>
                <c:pt idx="13">
                  <c:v>50770</c:v>
                </c:pt>
                <c:pt idx="14">
                  <c:v>51135</c:v>
                </c:pt>
                <c:pt idx="15">
                  <c:v>51501</c:v>
                </c:pt>
                <c:pt idx="16">
                  <c:v>51866</c:v>
                </c:pt>
                <c:pt idx="17">
                  <c:v>52231</c:v>
                </c:pt>
                <c:pt idx="18">
                  <c:v>52596</c:v>
                </c:pt>
                <c:pt idx="19">
                  <c:v>52962</c:v>
                </c:pt>
                <c:pt idx="20">
                  <c:v>53327</c:v>
                </c:pt>
              </c:numCache>
            </c:numRef>
          </c:cat>
          <c:val>
            <c:numRef>
              <c:f>Graphs!$C$110:$W$110</c:f>
              <c:numCache>
                <c:formatCode>_(* #,##0_);_(* \(#,##0\);_(* "-"_);_(@_)</c:formatCode>
                <c:ptCount val="21"/>
                <c:pt idx="1">
                  <c:v>5393.52</c:v>
                </c:pt>
                <c:pt idx="2">
                  <c:v>7048.9197762880885</c:v>
                </c:pt>
                <c:pt idx="3">
                  <c:v>9120.6383033356378</c:v>
                </c:pt>
                <c:pt idx="4">
                  <c:v>11683.045000515016</c:v>
                </c:pt>
                <c:pt idx="5">
                  <c:v>14814.618868741705</c:v>
                </c:pt>
                <c:pt idx="6">
                  <c:v>18595.321915362209</c:v>
                </c:pt>
                <c:pt idx="7">
                  <c:v>23103.116406933335</c:v>
                </c:pt>
                <c:pt idx="8">
                  <c:v>28409.633455885956</c:v>
                </c:pt>
                <c:pt idx="9">
                  <c:v>34575.074795132299</c:v>
                </c:pt>
                <c:pt idx="10">
                  <c:v>41642.516988331758</c:v>
                </c:pt>
                <c:pt idx="11">
                  <c:v>49631.881881993417</c:v>
                </c:pt>
                <c:pt idx="12">
                  <c:v>58533.930457943927</c:v>
                </c:pt>
                <c:pt idx="13">
                  <c:v>68304.718960425103</c:v>
                </c:pt>
                <c:pt idx="14">
                  <c:v>78861.014605523596</c:v>
                </c:pt>
                <c:pt idx="15">
                  <c:v>90077.191707756298</c:v>
                </c:pt>
                <c:pt idx="16">
                  <c:v>101784.10761343126</c:v>
                </c:pt>
                <c:pt idx="17">
                  <c:v>113770.38457426835</c:v>
                </c:pt>
                <c:pt idx="18">
                  <c:v>125786.39659048834</c:v>
                </c:pt>
                <c:pt idx="19">
                  <c:v>137551.08327880205</c:v>
                </c:pt>
                <c:pt idx="20">
                  <c:v>148761.49656602441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96-40CA-87CC-07A651674C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28197616"/>
        <c:axId val="928201224"/>
      </c:areaChart>
      <c:dateAx>
        <c:axId val="928197616"/>
        <c:scaling>
          <c:orientation val="minMax"/>
        </c:scaling>
        <c:delete val="0"/>
        <c:axPos val="b"/>
        <c:numFmt formatCode="&quot;FY&quot;\ 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8201224"/>
        <c:crosses val="autoZero"/>
        <c:auto val="1"/>
        <c:lblOffset val="100"/>
        <c:baseTimeUnit val="years"/>
      </c:dateAx>
      <c:valAx>
        <c:axId val="928201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0,\ \B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81976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l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_xlchart.v1.1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algn="ctr" rtl="0">
              <a:defRPr/>
            </a:pPr>
            <a:r>
              <a:rPr lang="en-US" sz="1400" b="0" i="0" u="none" strike="noStrike" baseline="0">
                <a:solidFill>
                  <a:schemeClr val="tx1"/>
                </a:solidFill>
                <a:latin typeface="Calibri" panose="020F0502020204030204"/>
              </a:rPr>
              <a:t>Sum-of-the-Parts</a:t>
            </a:r>
            <a:r>
              <a:rPr lang="en-U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 DCF Valuation</a:t>
            </a:r>
          </a:p>
        </cx:rich>
      </cx:tx>
    </cx:title>
    <cx:plotArea>
      <cx:plotAreaRegion>
        <cx:series layoutId="waterfall" uniqueId="{2DF36180-F879-4E6A-B7D5-6CF641EB6D1E}">
          <cx:spPr>
            <a:solidFill>
              <a:schemeClr val="accent1"/>
            </a:solidFill>
          </cx:spPr>
          <cx:dataPt idx="3">
            <cx:spPr>
              <a:solidFill>
                <a:srgbClr val="FF0000"/>
              </a:solidFill>
            </cx:spPr>
          </cx:dataPt>
          <cx:dataPt idx="4">
            <cx:spPr>
              <a:solidFill>
                <a:srgbClr val="FF0000"/>
              </a:solidFill>
            </cx:spPr>
          </cx:dataPt>
          <cx:dataPt idx="5">
            <cx:spPr>
              <a:solidFill>
                <a:srgbClr val="FF0000"/>
              </a:solidFill>
            </cx:spPr>
          </cx:dataPt>
          <cx:dataPt idx="6">
            <cx:spPr>
              <a:solidFill>
                <a:sysClr val="window" lastClr="FFFFFF">
                  <a:lumMod val="75000"/>
                </a:sysClr>
              </a:solidFill>
            </cx:spPr>
          </cx:dataPt>
          <cx:dataLabels pos="outEnd">
            <cx:numFmt formatCode="$#,##0_);($#,##0)" sourceLinked="0"/>
            <cx:txPr>
              <a:bodyPr vertOverflow="overflow" horzOverflow="overflow" wrap="square" lIns="0" tIns="0" rIns="0" bIns="0"/>
              <a:lstStyle/>
              <a:p>
                <a:pPr algn="ctr" rtl="0">
                  <a:defRPr sz="1200" b="0" i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 sz="1200">
                  <a:solidFill>
                    <a:sysClr val="windowText" lastClr="000000"/>
                  </a:solidFill>
                </a:endParaRPr>
              </a:p>
            </cx:txPr>
            <cx:visibility seriesName="0" categoryName="0" value="1"/>
            <cx:separator>, </cx:separator>
          </cx:dataLabels>
          <cx:dataId val="0"/>
          <cx:layoutPr>
            <cx:subtotals>
              <cx:idx val="6"/>
              <cx:idx val="7"/>
            </cx:subtotals>
          </cx:layoutPr>
        </cx:series>
      </cx:plotAreaRegion>
      <cx:axis id="0">
        <cx:catScaling gapWidth="0.5"/>
        <cx:title>
          <cx:tx>
            <cx:txData>
              <cx:v>Components of Implied Share Price (Sum-of-the-Parts DCF)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 sz="1200"/>
              </a:pPr>
              <a:r>
                <a:rPr lang="en-US" sz="1200" b="0" i="0" u="none" strike="noStrike" baseline="0">
                  <a:solidFill>
                    <a:sysClr val="windowText" lastClr="000000"/>
                  </a:solidFill>
                  <a:latin typeface="Calibri" panose="020F0502020204030204"/>
                </a:rPr>
                <a:t>Components of Implied Share Price (Sum-of-the-Parts DCF)</a:t>
              </a:r>
            </a:p>
          </cx:txPr>
        </cx:title>
        <cx:tickLabels/>
        <cx:spPr>
          <a:ln>
            <a:solidFill>
              <a:schemeClr val="tx1"/>
            </a:solidFill>
          </a:ln>
        </cx:spPr>
        <cx:txPr>
          <a:bodyPr spcFirstLastPara="1" vertOverflow="ellipsis" horzOverflow="overflow" wrap="square" lIns="0" tIns="0" rIns="0" bIns="0" anchor="ctr" anchorCtr="1"/>
          <a:lstStyle/>
          <a:p>
            <a:pPr algn="ctr" rtl="0">
              <a:defRPr sz="1200">
                <a:solidFill>
                  <a:sysClr val="windowText" lastClr="000000"/>
                </a:solidFill>
              </a:defRPr>
            </a:pPr>
            <a:endParaRPr lang="en-US" sz="1200" b="0" i="0" u="none" strike="noStrike" baseline="0">
              <a:solidFill>
                <a:sysClr val="windowText" lastClr="000000"/>
              </a:solidFill>
              <a:latin typeface="Calibri" panose="020F0502020204030204"/>
            </a:endParaRPr>
          </a:p>
        </cx:txPr>
      </cx:axis>
      <cx:axis id="1">
        <cx:valScaling/>
        <cx:majorGridlines/>
        <cx:tickLabels/>
        <cx:numFmt formatCode="$#,##0" sourceLinked="0"/>
        <cx:spPr>
          <a:ln>
            <a:solidFill>
              <a:schemeClr val="tx1"/>
            </a:solidFill>
          </a:ln>
        </cx:spPr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 sz="1200">
              <a:solidFill>
                <a:sysClr val="windowText" lastClr="000000"/>
              </a:solidFill>
            </a:endParaRPr>
          </a:p>
        </cx:txPr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9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1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0.xml"/><Relationship Id="rId5" Type="http://schemas.openxmlformats.org/officeDocument/2006/relationships/chart" Target="../charts/chart5.xml"/><Relationship Id="rId10" Type="http://schemas.microsoft.com/office/2014/relationships/chartEx" Target="../charts/chartEx1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22913</xdr:colOff>
      <xdr:row>0</xdr:row>
      <xdr:rowOff>21078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F35C4F3-39DF-42BC-B67A-3250420CFD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22913</xdr:colOff>
      <xdr:row>0</xdr:row>
      <xdr:rowOff>21078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FF932BC-6BEA-4D7E-B7D6-601229B8C9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22913</xdr:colOff>
      <xdr:row>0</xdr:row>
      <xdr:rowOff>21078</xdr:rowOff>
    </xdr:to>
    <xdr:graphicFrame macro="">
      <xdr:nvGraphicFramePr>
        <xdr:cNvPr id="4" name="PV Graph">
          <a:extLst>
            <a:ext uri="{FF2B5EF4-FFF2-40B4-BE49-F238E27FC236}">
              <a16:creationId xmlns:a16="http://schemas.microsoft.com/office/drawing/2014/main" id="{BA4999F9-92E1-4232-921A-5E087BE4AB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22913</xdr:colOff>
      <xdr:row>0</xdr:row>
      <xdr:rowOff>21078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4FC91F6A-2E1B-4660-ACB6-446286420E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22913</xdr:colOff>
      <xdr:row>0</xdr:row>
      <xdr:rowOff>21078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E288781-71A7-443F-B1DB-37E107AA45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22913</xdr:colOff>
      <xdr:row>0</xdr:row>
      <xdr:rowOff>21078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A3B0E290-69CF-41C5-918A-BAE18AC2AD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0</xdr:col>
      <xdr:colOff>22913</xdr:colOff>
      <xdr:row>0</xdr:row>
      <xdr:rowOff>21078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E5622C49-2680-4DC3-95AA-CF40829F50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123825</xdr:colOff>
      <xdr:row>113</xdr:row>
      <xdr:rowOff>38100</xdr:rowOff>
    </xdr:from>
    <xdr:to>
      <xdr:col>11</xdr:col>
      <xdr:colOff>323852</xdr:colOff>
      <xdr:row>139</xdr:row>
      <xdr:rowOff>152401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D8F0B0D9-CCE3-4A3C-BCBD-93606CB5DC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171450</xdr:colOff>
      <xdr:row>76</xdr:row>
      <xdr:rowOff>76201</xdr:rowOff>
    </xdr:from>
    <xdr:to>
      <xdr:col>11</xdr:col>
      <xdr:colOff>838200</xdr:colOff>
      <xdr:row>104</xdr:row>
      <xdr:rowOff>92911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26527C92-977E-4345-9F38-3E832F92A0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0</xdr:colOff>
      <xdr:row>1</xdr:row>
      <xdr:rowOff>0</xdr:rowOff>
    </xdr:from>
    <xdr:to>
      <xdr:col>19</xdr:col>
      <xdr:colOff>699307</xdr:colOff>
      <xdr:row>32</xdr:row>
      <xdr:rowOff>161363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1" name="Chart 10">
              <a:extLst>
                <a:ext uri="{FF2B5EF4-FFF2-40B4-BE49-F238E27FC236}">
                  <a16:creationId xmlns:a16="http://schemas.microsoft.com/office/drawing/2014/main" id="{0038C82E-EEC3-4F10-9978-CF562E2A4CD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0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851071" y="201386"/>
              <a:ext cx="11476165" cy="640432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0</xdr:col>
      <xdr:colOff>147367</xdr:colOff>
      <xdr:row>44</xdr:row>
      <xdr:rowOff>80513</xdr:rowOff>
    </xdr:from>
    <xdr:to>
      <xdr:col>15</xdr:col>
      <xdr:colOff>675736</xdr:colOff>
      <xdr:row>72</xdr:row>
      <xdr:rowOff>86265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881A5EA5-670D-46EF-A497-01591D1F16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20</xdr:col>
      <xdr:colOff>127340</xdr:colOff>
      <xdr:row>0</xdr:row>
      <xdr:rowOff>191937</xdr:rowOff>
    </xdr:from>
    <xdr:to>
      <xdr:col>32</xdr:col>
      <xdr:colOff>372268</xdr:colOff>
      <xdr:row>32</xdr:row>
      <xdr:rowOff>154042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68125D66-6BF4-EBC1-E8B6-941BBF7767E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257BB1-7DB5-4727-883D-E778F1B08877}">
  <sheetPr>
    <pageSetUpPr autoPageBreaks="0"/>
  </sheetPr>
  <dimension ref="B2:AA256"/>
  <sheetViews>
    <sheetView showGridLines="0" tabSelected="1" zoomScaleNormal="100" workbookViewId="0">
      <selection activeCell="B2" sqref="B2"/>
    </sheetView>
  </sheetViews>
  <sheetFormatPr defaultColWidth="9.07421875" defaultRowHeight="15.9" outlineLevelRow="1" x14ac:dyDescent="0.45"/>
  <cols>
    <col min="1" max="2" width="2.69140625" style="116" customWidth="1"/>
    <col min="3" max="3" width="48.4609375" style="116" customWidth="1"/>
    <col min="4" max="27" width="13.69140625" style="116" customWidth="1"/>
    <col min="28" max="28" width="2.69140625" style="116" customWidth="1"/>
    <col min="29" max="16384" width="9.07421875" style="116"/>
  </cols>
  <sheetData>
    <row r="2" spans="2:23" ht="18.45" x14ac:dyDescent="0.5">
      <c r="B2" s="161" t="str">
        <f>"Sum-of-the-Parts (SOTP) DCF Analysis and Valuation - "&amp;Company_Name</f>
        <v>Sum-of-the-Parts (SOTP) DCF Analysis and Valuation - SpaceX Inc.</v>
      </c>
      <c r="H2" s="162"/>
    </row>
    <row r="3" spans="2:23" x14ac:dyDescent="0.45">
      <c r="B3" s="116" t="s">
        <v>0</v>
      </c>
    </row>
    <row r="5" spans="2:23" x14ac:dyDescent="0.45">
      <c r="B5" s="163" t="s">
        <v>173</v>
      </c>
      <c r="C5" s="163"/>
      <c r="D5" s="164" t="s">
        <v>17</v>
      </c>
      <c r="E5" s="164"/>
      <c r="F5" s="163"/>
      <c r="G5" s="164"/>
      <c r="H5" s="164"/>
      <c r="I5" s="164"/>
      <c r="J5" s="164" t="str">
        <f>$D$5</f>
        <v>Units:</v>
      </c>
      <c r="K5" s="164"/>
      <c r="L5" s="164"/>
      <c r="M5" s="164"/>
      <c r="N5" s="164"/>
      <c r="Q5" s="165"/>
      <c r="W5" s="166"/>
    </row>
    <row r="6" spans="2:23" outlineLevel="1" x14ac:dyDescent="0.45">
      <c r="Q6" s="165"/>
      <c r="W6" s="166"/>
    </row>
    <row r="7" spans="2:23" outlineLevel="1" x14ac:dyDescent="0.45">
      <c r="C7" s="86" t="s">
        <v>11</v>
      </c>
      <c r="D7" s="26" t="s">
        <v>36</v>
      </c>
      <c r="E7" s="36" t="s">
        <v>76</v>
      </c>
      <c r="G7" s="167" t="s">
        <v>176</v>
      </c>
      <c r="J7" s="26" t="s">
        <v>20</v>
      </c>
      <c r="K7" s="306">
        <v>2275</v>
      </c>
      <c r="Q7" s="165"/>
      <c r="W7" s="166"/>
    </row>
    <row r="8" spans="2:23" outlineLevel="1" x14ac:dyDescent="0.45">
      <c r="C8" s="5" t="s">
        <v>49</v>
      </c>
      <c r="D8" s="26" t="s">
        <v>36</v>
      </c>
      <c r="E8" s="36" t="s">
        <v>98</v>
      </c>
      <c r="G8" s="167" t="s">
        <v>177</v>
      </c>
      <c r="J8" s="26" t="s">
        <v>18</v>
      </c>
      <c r="K8" s="168">
        <v>0.8</v>
      </c>
      <c r="Q8" s="165"/>
      <c r="W8" s="166"/>
    </row>
    <row r="9" spans="2:23" outlineLevel="1" x14ac:dyDescent="0.45">
      <c r="C9" s="5" t="s">
        <v>68</v>
      </c>
      <c r="D9" s="26" t="s">
        <v>174</v>
      </c>
      <c r="E9" s="1">
        <v>46171</v>
      </c>
      <c r="W9" s="166"/>
    </row>
    <row r="10" spans="2:23" outlineLevel="1" x14ac:dyDescent="0.45">
      <c r="G10" s="116" t="s">
        <v>403</v>
      </c>
      <c r="J10" s="26" t="s">
        <v>20</v>
      </c>
      <c r="K10" s="337">
        <v>1681</v>
      </c>
      <c r="Q10" s="165"/>
      <c r="W10" s="166"/>
    </row>
    <row r="11" spans="2:23" outlineLevel="1" x14ac:dyDescent="0.45">
      <c r="C11" s="5" t="s">
        <v>75</v>
      </c>
      <c r="D11" s="25" t="s">
        <v>193</v>
      </c>
      <c r="E11" s="128">
        <v>12</v>
      </c>
      <c r="G11" s="116" t="s">
        <v>404</v>
      </c>
      <c r="J11" s="26" t="s">
        <v>18</v>
      </c>
      <c r="K11" s="171">
        <v>0.22600000000000001</v>
      </c>
      <c r="Q11" s="165"/>
      <c r="W11" s="166"/>
    </row>
    <row r="12" spans="2:23" outlineLevel="1" x14ac:dyDescent="0.45">
      <c r="C12" s="5" t="s">
        <v>84</v>
      </c>
      <c r="D12" s="25" t="s">
        <v>56</v>
      </c>
      <c r="E12" s="128">
        <v>1000000</v>
      </c>
      <c r="Q12" s="165"/>
      <c r="W12" s="166"/>
    </row>
    <row r="13" spans="2:23" outlineLevel="1" x14ac:dyDescent="0.45">
      <c r="G13" s="116" t="s">
        <v>178</v>
      </c>
      <c r="J13" s="26" t="s">
        <v>18</v>
      </c>
      <c r="K13" s="171">
        <v>5.0000000000000001E-3</v>
      </c>
      <c r="Q13" s="165"/>
      <c r="W13" s="166"/>
    </row>
    <row r="14" spans="2:23" outlineLevel="1" x14ac:dyDescent="0.45">
      <c r="C14" s="86" t="s">
        <v>24</v>
      </c>
      <c r="D14" s="26" t="s">
        <v>174</v>
      </c>
      <c r="E14" s="1">
        <v>46022</v>
      </c>
      <c r="J14" s="26"/>
      <c r="K14" s="170"/>
      <c r="Q14" s="165"/>
      <c r="W14" s="166"/>
    </row>
    <row r="15" spans="2:23" outlineLevel="1" x14ac:dyDescent="0.45">
      <c r="C15" s="5" t="s">
        <v>1</v>
      </c>
      <c r="D15" s="25" t="s">
        <v>18</v>
      </c>
      <c r="E15" s="38">
        <v>0.25</v>
      </c>
      <c r="G15" s="5" t="s">
        <v>55</v>
      </c>
      <c r="J15" s="25" t="s">
        <v>36</v>
      </c>
      <c r="K15" s="120" t="s">
        <v>408</v>
      </c>
      <c r="Q15" s="165"/>
      <c r="W15" s="166"/>
    </row>
    <row r="17" spans="2:14" x14ac:dyDescent="0.45">
      <c r="B17" s="163" t="str">
        <f>Div_1&amp;" Drivers and Benchmarks:"</f>
        <v>Starlink Drivers and Benchmarks:</v>
      </c>
      <c r="C17" s="163"/>
      <c r="D17" s="164" t="str">
        <f>$D$5</f>
        <v>Units:</v>
      </c>
      <c r="E17" s="164"/>
      <c r="F17" s="163"/>
      <c r="G17" s="164"/>
      <c r="H17" s="164"/>
      <c r="I17" s="164" t="str">
        <f>$D$5</f>
        <v>Units:</v>
      </c>
      <c r="J17" s="164"/>
      <c r="K17" s="164"/>
      <c r="L17" s="164"/>
      <c r="M17" s="164"/>
      <c r="N17" s="164"/>
    </row>
    <row r="18" spans="2:14" outlineLevel="1" x14ac:dyDescent="0.45"/>
    <row r="19" spans="2:14" outlineLevel="1" x14ac:dyDescent="0.45">
      <c r="C19" s="14" t="s">
        <v>52</v>
      </c>
      <c r="D19" s="25" t="s">
        <v>18</v>
      </c>
      <c r="E19" s="222">
        <f>WACC!H36</f>
        <v>9.7578885639558646E-2</v>
      </c>
      <c r="G19" s="223"/>
      <c r="H19" s="223"/>
      <c r="I19" s="223"/>
      <c r="J19" s="289" t="str">
        <f>Div_1&amp;":"</f>
        <v>Starlink:</v>
      </c>
      <c r="K19" s="285"/>
      <c r="L19" s="284" t="s">
        <v>319</v>
      </c>
      <c r="M19" s="284"/>
      <c r="N19" s="284"/>
    </row>
    <row r="20" spans="2:14" outlineLevel="1" x14ac:dyDescent="0.45">
      <c r="C20" s="14" t="s">
        <v>231</v>
      </c>
      <c r="D20" s="25" t="s">
        <v>18</v>
      </c>
      <c r="E20" s="240">
        <v>2.296084200704146E-2</v>
      </c>
      <c r="G20" s="223"/>
      <c r="H20" s="223"/>
      <c r="I20" s="223"/>
      <c r="J20" s="290" t="s">
        <v>318</v>
      </c>
      <c r="K20" s="286"/>
      <c r="L20" s="225" t="s">
        <v>226</v>
      </c>
      <c r="M20" s="225" t="s">
        <v>228</v>
      </c>
      <c r="N20" s="225" t="s">
        <v>313</v>
      </c>
    </row>
    <row r="21" spans="2:14" outlineLevel="1" x14ac:dyDescent="0.45">
      <c r="C21" s="14" t="s">
        <v>53</v>
      </c>
      <c r="D21" s="25" t="s">
        <v>18</v>
      </c>
      <c r="E21" s="241">
        <f>E19-E20</f>
        <v>7.4618043632517186E-2</v>
      </c>
      <c r="G21" s="172" t="s">
        <v>225</v>
      </c>
      <c r="H21" s="172"/>
      <c r="I21" s="224"/>
      <c r="J21" s="291" t="s">
        <v>25</v>
      </c>
      <c r="K21" s="287" t="s">
        <v>224</v>
      </c>
      <c r="L21" s="224" t="s">
        <v>227</v>
      </c>
      <c r="M21" s="224" t="s">
        <v>227</v>
      </c>
      <c r="N21" s="224" t="s">
        <v>314</v>
      </c>
    </row>
    <row r="22" spans="2:14" outlineLevel="1" x14ac:dyDescent="0.45">
      <c r="G22" s="156" t="s">
        <v>223</v>
      </c>
      <c r="I22" s="25" t="s">
        <v>19</v>
      </c>
      <c r="J22" s="228">
        <f>STLK!G34</f>
        <v>8.9</v>
      </c>
      <c r="K22" s="228">
        <f>STLK!AA34</f>
        <v>169.73940281068013</v>
      </c>
      <c r="L22" s="228">
        <f>STLK_Comps!O31</f>
        <v>202.5</v>
      </c>
      <c r="M22" s="228">
        <f>STLK_Comps!O45</f>
        <v>219.7</v>
      </c>
      <c r="N22" s="228">
        <f>STLK_Comps!O17</f>
        <v>1.3</v>
      </c>
    </row>
    <row r="23" spans="2:14" outlineLevel="1" x14ac:dyDescent="0.45">
      <c r="C23" s="14" t="s">
        <v>199</v>
      </c>
      <c r="D23" s="25" t="s">
        <v>60</v>
      </c>
      <c r="E23" s="215">
        <v>400</v>
      </c>
      <c r="G23" s="156" t="s">
        <v>197</v>
      </c>
      <c r="I23" s="26" t="s">
        <v>69</v>
      </c>
      <c r="J23" s="226">
        <f>STLK!G37</f>
        <v>81</v>
      </c>
      <c r="K23" s="226">
        <f>STLK!AA37</f>
        <v>24.733242094193056</v>
      </c>
      <c r="L23" s="226">
        <f>STLK_Comps!N31</f>
        <v>3.1573669923995658</v>
      </c>
      <c r="M23" s="226">
        <f>STLK_Comps!N45</f>
        <v>18.572029250632813</v>
      </c>
      <c r="N23" s="226">
        <f>STLK_Comps!N17</f>
        <v>42.704999999999998</v>
      </c>
    </row>
    <row r="24" spans="2:14" outlineLevel="1" x14ac:dyDescent="0.45">
      <c r="E24" s="279"/>
    </row>
    <row r="25" spans="2:14" outlineLevel="1" x14ac:dyDescent="0.45">
      <c r="C25" s="156" t="s">
        <v>413</v>
      </c>
      <c r="D25" s="26" t="s">
        <v>18</v>
      </c>
      <c r="E25" s="277">
        <f>_xlfn.XLOOKUP(Scenario,$C26:$C28,E26:E28)</f>
        <v>0.3</v>
      </c>
      <c r="G25" s="156" t="s">
        <v>229</v>
      </c>
      <c r="I25" s="25" t="s">
        <v>83</v>
      </c>
      <c r="J25" s="229">
        <f>STLK!G50</f>
        <v>34825</v>
      </c>
      <c r="K25" s="229">
        <f>STLK!AA50</f>
        <v>147062.59898934764</v>
      </c>
      <c r="L25" s="377" t="s">
        <v>107</v>
      </c>
      <c r="M25" s="377" t="s">
        <v>107</v>
      </c>
      <c r="N25" s="377" t="s">
        <v>107</v>
      </c>
    </row>
    <row r="26" spans="2:14" outlineLevel="1" x14ac:dyDescent="0.45">
      <c r="C26" s="195" t="s">
        <v>407</v>
      </c>
      <c r="D26" s="26" t="s">
        <v>18</v>
      </c>
      <c r="E26" s="38">
        <v>0.4</v>
      </c>
      <c r="G26" s="156" t="s">
        <v>230</v>
      </c>
      <c r="I26" s="26" t="s">
        <v>81</v>
      </c>
      <c r="J26" s="186">
        <f>STLK!G47</f>
        <v>10000</v>
      </c>
      <c r="K26" s="186">
        <f>STLK!AA47</f>
        <v>14144.950234223348</v>
      </c>
      <c r="L26" s="377" t="s">
        <v>107</v>
      </c>
      <c r="M26" s="377" t="s">
        <v>107</v>
      </c>
      <c r="N26" s="377" t="s">
        <v>107</v>
      </c>
    </row>
    <row r="27" spans="2:14" outlineLevel="1" x14ac:dyDescent="0.45">
      <c r="C27" s="195" t="s">
        <v>408</v>
      </c>
      <c r="D27" s="26" t="s">
        <v>18</v>
      </c>
      <c r="E27" s="38">
        <v>0.3</v>
      </c>
      <c r="K27" s="371"/>
      <c r="L27" s="371"/>
      <c r="M27" s="371"/>
    </row>
    <row r="28" spans="2:14" outlineLevel="1" x14ac:dyDescent="0.45">
      <c r="C28" s="195" t="s">
        <v>409</v>
      </c>
      <c r="D28" s="26" t="s">
        <v>18</v>
      </c>
      <c r="E28" s="38">
        <v>0.2</v>
      </c>
      <c r="G28" s="156" t="s">
        <v>220</v>
      </c>
      <c r="I28" s="25" t="s">
        <v>20</v>
      </c>
      <c r="J28" s="186">
        <f>STLK!G55</f>
        <v>11387</v>
      </c>
      <c r="K28" s="186">
        <f>STLK!AA55</f>
        <v>76385.609898322495</v>
      </c>
      <c r="L28" s="186">
        <f>STLK_Comps!P31</f>
        <v>6101.9</v>
      </c>
      <c r="M28" s="186">
        <f>STLK_Comps!P45</f>
        <v>54655.4</v>
      </c>
      <c r="N28" s="186">
        <f>STLK_Comps!P17</f>
        <v>1150.6999999999998</v>
      </c>
    </row>
    <row r="29" spans="2:14" outlineLevel="1" x14ac:dyDescent="0.45">
      <c r="G29" s="156" t="s">
        <v>416</v>
      </c>
      <c r="I29" s="26" t="s">
        <v>18</v>
      </c>
      <c r="J29" s="378">
        <f>(STLK!J77/STLK!G77)^(1/3)-1</f>
        <v>0.30364798015215055</v>
      </c>
      <c r="K29" s="378">
        <f>(STLK!AA77/STLK!X77)^(1/3)-1</f>
        <v>2.7234897040916861E-2</v>
      </c>
      <c r="L29" s="227">
        <f>STLK_Comps!S31</f>
        <v>0.10982346862055992</v>
      </c>
      <c r="M29" s="227">
        <f>STLK_Comps!S45</f>
        <v>4.0427267468914785E-2</v>
      </c>
      <c r="N29" s="227">
        <f>STLK_Comps!S17</f>
        <v>5.0703069971179016E-2</v>
      </c>
    </row>
    <row r="30" spans="2:14" outlineLevel="1" x14ac:dyDescent="0.45">
      <c r="C30" s="156" t="s">
        <v>212</v>
      </c>
      <c r="D30" s="26" t="s">
        <v>18</v>
      </c>
      <c r="E30" s="38">
        <v>0.01</v>
      </c>
      <c r="G30" s="156" t="s">
        <v>88</v>
      </c>
      <c r="I30" s="26" t="s">
        <v>18</v>
      </c>
      <c r="J30" s="227">
        <f>STLK!G59</f>
        <v>0.48002107666637395</v>
      </c>
      <c r="K30" s="227">
        <f>STLK!AA59</f>
        <v>0.69999999999999973</v>
      </c>
      <c r="L30" s="227">
        <f>STLK_Comps!Q31</f>
        <v>0.66349999999999998</v>
      </c>
      <c r="M30" s="227">
        <f>STLK_Comps!Q45</f>
        <v>0.43049999999999999</v>
      </c>
      <c r="N30" s="227">
        <f>STLK_Comps!Q17</f>
        <v>0.52949999999999997</v>
      </c>
    </row>
    <row r="31" spans="2:14" outlineLevel="1" x14ac:dyDescent="0.45">
      <c r="C31" s="156" t="s">
        <v>211</v>
      </c>
      <c r="D31" s="26" t="s">
        <v>18</v>
      </c>
      <c r="E31" s="38">
        <v>-0.05</v>
      </c>
      <c r="G31" s="156" t="s">
        <v>222</v>
      </c>
      <c r="I31" s="26" t="s">
        <v>18</v>
      </c>
      <c r="J31" s="227">
        <f>STLK!G108</f>
        <v>0.597084394484939</v>
      </c>
      <c r="K31" s="227">
        <f>STLK!AA108</f>
        <v>0.74343504989183185</v>
      </c>
      <c r="L31" s="227">
        <f>STLK_Comps!T31</f>
        <v>0.45565</v>
      </c>
      <c r="M31" s="227">
        <f>STLK_Comps!T45</f>
        <v>0.31</v>
      </c>
      <c r="N31" s="227">
        <f>STLK_Comps!T17</f>
        <v>0.43269999999999997</v>
      </c>
    </row>
    <row r="32" spans="2:14" outlineLevel="1" x14ac:dyDescent="0.45">
      <c r="C32" s="156"/>
      <c r="D32" s="26"/>
      <c r="E32" s="169"/>
      <c r="G32" s="156" t="s">
        <v>221</v>
      </c>
      <c r="I32" s="26" t="s">
        <v>18</v>
      </c>
      <c r="J32" s="227">
        <f>STLK!G94</f>
        <v>0.36690963379292174</v>
      </c>
      <c r="K32" s="227">
        <f>STLK!AA94</f>
        <v>0.1642978276296608</v>
      </c>
      <c r="L32" s="227">
        <f>STLK_Comps!R31</f>
        <v>0.18176091621539808</v>
      </c>
      <c r="M32" s="227">
        <f>STLK_Comps!R45</f>
        <v>0.12088541580183901</v>
      </c>
      <c r="N32" s="227">
        <f>STLK_Comps!R17</f>
        <v>0.30680559491937531</v>
      </c>
    </row>
    <row r="33" spans="3:14" outlineLevel="1" x14ac:dyDescent="0.45">
      <c r="C33" s="14" t="s">
        <v>79</v>
      </c>
      <c r="D33" s="25" t="s">
        <v>83</v>
      </c>
      <c r="E33" s="216">
        <f>30000+112495</f>
        <v>142495</v>
      </c>
      <c r="G33" s="156" t="s">
        <v>2</v>
      </c>
      <c r="I33" s="26" t="s">
        <v>18</v>
      </c>
      <c r="J33" s="333">
        <f>E19</f>
        <v>9.7578885639558646E-2</v>
      </c>
      <c r="K33" s="333">
        <f>E21</f>
        <v>7.4618043632517186E-2</v>
      </c>
      <c r="L33" s="245">
        <f>WACC!H36</f>
        <v>9.7578885639558646E-2</v>
      </c>
      <c r="M33" s="245">
        <f>WACC!H37</f>
        <v>7.5026989954634651E-2</v>
      </c>
      <c r="N33" s="245">
        <f>WACC!H35</f>
        <v>9.8493771534012467E-2</v>
      </c>
    </row>
    <row r="34" spans="3:14" outlineLevel="1" x14ac:dyDescent="0.45"/>
    <row r="35" spans="3:14" outlineLevel="1" x14ac:dyDescent="0.45">
      <c r="C35" s="156" t="s">
        <v>200</v>
      </c>
      <c r="D35" s="26" t="s">
        <v>18</v>
      </c>
      <c r="E35" s="277">
        <f>_xlfn.XLOOKUP(Scenario,$C36:$C38,E36:E38)</f>
        <v>0.6</v>
      </c>
      <c r="G35" s="157" t="s">
        <v>417</v>
      </c>
      <c r="I35" s="25" t="s">
        <v>20</v>
      </c>
      <c r="J35" s="356">
        <f>STLK!O26</f>
        <v>231145.66374412453</v>
      </c>
    </row>
    <row r="36" spans="3:14" outlineLevel="1" x14ac:dyDescent="0.45">
      <c r="C36" s="195" t="str">
        <f>$C$26</f>
        <v>Elon</v>
      </c>
      <c r="D36" s="26" t="s">
        <v>18</v>
      </c>
      <c r="E36" s="38">
        <v>0.8</v>
      </c>
    </row>
    <row r="37" spans="3:14" ht="15.9" customHeight="1" outlineLevel="1" x14ac:dyDescent="0.45">
      <c r="C37" s="195" t="str">
        <f>$C$27</f>
        <v>Optimistic</v>
      </c>
      <c r="D37" s="26" t="s">
        <v>18</v>
      </c>
      <c r="E37" s="38">
        <v>0.6</v>
      </c>
      <c r="G37" s="157" t="s">
        <v>233</v>
      </c>
    </row>
    <row r="38" spans="3:14" outlineLevel="1" x14ac:dyDescent="0.45">
      <c r="C38" s="195" t="str">
        <f>$C$28</f>
        <v>Realistic</v>
      </c>
      <c r="D38" s="26" t="s">
        <v>18</v>
      </c>
      <c r="E38" s="38">
        <v>0.4</v>
      </c>
    </row>
    <row r="39" spans="3:14" ht="15.9" customHeight="1" outlineLevel="1" x14ac:dyDescent="0.45">
      <c r="G39" s="230"/>
      <c r="H39" s="231"/>
      <c r="I39" s="295" t="s">
        <v>175</v>
      </c>
      <c r="J39" s="296"/>
      <c r="K39" s="296"/>
    </row>
    <row r="40" spans="3:14" ht="15.9" customHeight="1" outlineLevel="1" x14ac:dyDescent="0.45">
      <c r="C40" s="156" t="s">
        <v>296</v>
      </c>
      <c r="D40" s="26" t="s">
        <v>18</v>
      </c>
      <c r="E40" s="38">
        <v>2.5000000000000001E-2</v>
      </c>
      <c r="G40" s="233"/>
      <c r="H40" s="234">
        <f>STLK!$O$26</f>
        <v>231145.66374412453</v>
      </c>
      <c r="I40" s="235" t="s">
        <v>409</v>
      </c>
      <c r="J40" s="235" t="s">
        <v>408</v>
      </c>
      <c r="K40" s="239" t="s">
        <v>407</v>
      </c>
    </row>
    <row r="41" spans="3:14" outlineLevel="1" x14ac:dyDescent="0.45">
      <c r="C41" s="156" t="s">
        <v>297</v>
      </c>
      <c r="D41" s="26" t="s">
        <v>18</v>
      </c>
      <c r="E41" s="38">
        <v>0.01</v>
      </c>
      <c r="G41" s="376" t="s">
        <v>52</v>
      </c>
      <c r="H41" s="237">
        <f>H42+0.5%</f>
        <v>0.10804490871831487</v>
      </c>
      <c r="I41" s="242">
        <f t="dataTable" ref="I41:K45" dt2D="1" dtr="1" r1="K15" r2="E19" ca="1"/>
        <v>125120.13978093662</v>
      </c>
      <c r="J41" s="242">
        <v>187613.77511066466</v>
      </c>
      <c r="K41" s="249">
        <v>260991.46865522157</v>
      </c>
    </row>
    <row r="42" spans="3:14" outlineLevel="1" x14ac:dyDescent="0.45">
      <c r="G42" s="374"/>
      <c r="H42" s="237">
        <f>H43+0.5%</f>
        <v>0.10304490871831487</v>
      </c>
      <c r="I42" s="243">
        <v>136258.02380351364</v>
      </c>
      <c r="J42" s="243">
        <v>206527.27121227997</v>
      </c>
      <c r="K42" s="248">
        <v>290925.03079711163</v>
      </c>
    </row>
    <row r="43" spans="3:14" outlineLevel="1" x14ac:dyDescent="0.45">
      <c r="C43" s="156" t="s">
        <v>201</v>
      </c>
      <c r="D43" s="26" t="s">
        <v>18</v>
      </c>
      <c r="E43" s="38">
        <v>0.7</v>
      </c>
      <c r="G43" s="374"/>
      <c r="H43" s="247">
        <v>9.8044908718314866E-2</v>
      </c>
      <c r="I43" s="244">
        <v>149154.79949609505</v>
      </c>
      <c r="J43" s="244">
        <v>228858.87374596403</v>
      </c>
      <c r="K43" s="250">
        <v>327203.80409545213</v>
      </c>
    </row>
    <row r="44" spans="3:14" outlineLevel="1" x14ac:dyDescent="0.45">
      <c r="G44" s="374"/>
      <c r="H44" s="237">
        <f>H43-0.5%</f>
        <v>9.3044908718314862E-2</v>
      </c>
      <c r="I44" s="243">
        <v>164228.91793330698</v>
      </c>
      <c r="J44" s="243">
        <v>255560.23902881698</v>
      </c>
      <c r="K44" s="248">
        <v>371967.27907785925</v>
      </c>
    </row>
    <row r="45" spans="3:14" outlineLevel="1" x14ac:dyDescent="0.45">
      <c r="C45" s="156" t="s">
        <v>207</v>
      </c>
      <c r="D45" s="26" t="s">
        <v>18</v>
      </c>
      <c r="E45" s="38">
        <v>-0.01</v>
      </c>
      <c r="G45" s="375"/>
      <c r="H45" s="236">
        <f t="shared" ref="H45" si="0">H44-0.5%</f>
        <v>8.8044908718314857E-2</v>
      </c>
      <c r="I45" s="243">
        <v>182039.29630838032</v>
      </c>
      <c r="J45" s="243">
        <v>287964.94095132174</v>
      </c>
      <c r="K45" s="248">
        <v>428425.04149429628</v>
      </c>
    </row>
    <row r="46" spans="3:14" outlineLevel="1" x14ac:dyDescent="0.45">
      <c r="C46" s="156" t="s">
        <v>202</v>
      </c>
      <c r="D46" s="26" t="s">
        <v>18</v>
      </c>
      <c r="E46" s="38">
        <v>0.05</v>
      </c>
    </row>
    <row r="47" spans="3:14" outlineLevel="1" x14ac:dyDescent="0.45"/>
    <row r="48" spans="3:14" outlineLevel="1" x14ac:dyDescent="0.45">
      <c r="C48" s="156" t="s">
        <v>206</v>
      </c>
      <c r="D48" s="26" t="s">
        <v>18</v>
      </c>
      <c r="E48" s="38">
        <v>7.4999999999999997E-2</v>
      </c>
    </row>
    <row r="49" spans="2:14" outlineLevel="1" x14ac:dyDescent="0.45">
      <c r="C49" s="156" t="s">
        <v>208</v>
      </c>
      <c r="D49" s="26" t="s">
        <v>18</v>
      </c>
      <c r="E49" s="38">
        <v>-0.05</v>
      </c>
    </row>
    <row r="51" spans="2:14" x14ac:dyDescent="0.45">
      <c r="B51" s="163" t="str">
        <f>Div_2&amp;" Drivers and Benchmarks:"</f>
        <v>AI Drivers and Benchmarks:</v>
      </c>
      <c r="C51" s="163"/>
      <c r="D51" s="164" t="str">
        <f>$D$5</f>
        <v>Units:</v>
      </c>
      <c r="E51" s="164"/>
      <c r="F51" s="163"/>
      <c r="G51" s="164"/>
      <c r="H51" s="164"/>
      <c r="I51" s="164" t="str">
        <f>$D$5</f>
        <v>Units:</v>
      </c>
      <c r="J51" s="164"/>
      <c r="K51" s="164"/>
      <c r="L51" s="164"/>
      <c r="M51" s="164"/>
      <c r="N51" s="164"/>
    </row>
    <row r="52" spans="2:14" outlineLevel="1" x14ac:dyDescent="0.45"/>
    <row r="53" spans="2:14" outlineLevel="1" x14ac:dyDescent="0.45">
      <c r="C53" s="14" t="s">
        <v>52</v>
      </c>
      <c r="D53" s="25" t="s">
        <v>18</v>
      </c>
      <c r="E53" s="222">
        <f>WACC!H54</f>
        <v>0.14616674989904763</v>
      </c>
      <c r="G53" s="223"/>
      <c r="H53" s="223"/>
      <c r="I53" s="223"/>
      <c r="J53" s="289" t="str">
        <f>Div_2&amp;":"</f>
        <v>AI:</v>
      </c>
      <c r="K53" s="285"/>
      <c r="L53" s="284" t="s">
        <v>319</v>
      </c>
      <c r="M53" s="284"/>
      <c r="N53" s="284"/>
    </row>
    <row r="54" spans="2:14" outlineLevel="1" x14ac:dyDescent="0.45">
      <c r="C54" s="14" t="s">
        <v>231</v>
      </c>
      <c r="D54" s="25" t="s">
        <v>18</v>
      </c>
      <c r="E54" s="240">
        <v>0.05</v>
      </c>
      <c r="G54" s="223"/>
      <c r="H54" s="223"/>
      <c r="I54" s="223"/>
      <c r="J54" s="290" t="s">
        <v>318</v>
      </c>
      <c r="K54" s="286"/>
      <c r="L54" s="225" t="s">
        <v>304</v>
      </c>
      <c r="M54" s="225" t="s">
        <v>306</v>
      </c>
      <c r="N54" s="225" t="s">
        <v>315</v>
      </c>
    </row>
    <row r="55" spans="2:14" outlineLevel="1" x14ac:dyDescent="0.45">
      <c r="C55" s="14" t="s">
        <v>53</v>
      </c>
      <c r="D55" s="25" t="s">
        <v>18</v>
      </c>
      <c r="E55" s="241">
        <f>E53-E54</f>
        <v>9.6166749899047624E-2</v>
      </c>
      <c r="G55" s="172" t="s">
        <v>225</v>
      </c>
      <c r="H55" s="172"/>
      <c r="I55" s="224"/>
      <c r="J55" s="291" t="s">
        <v>25</v>
      </c>
      <c r="K55" s="287" t="s">
        <v>224</v>
      </c>
      <c r="L55" s="224" t="s">
        <v>305</v>
      </c>
      <c r="M55" s="224" t="s">
        <v>307</v>
      </c>
      <c r="N55" s="224" t="s">
        <v>316</v>
      </c>
    </row>
    <row r="56" spans="2:14" outlineLevel="1" x14ac:dyDescent="0.45">
      <c r="G56" s="156" t="s">
        <v>303</v>
      </c>
      <c r="I56" s="25" t="s">
        <v>238</v>
      </c>
      <c r="J56" s="280">
        <f>AI!G41</f>
        <v>550</v>
      </c>
      <c r="K56" s="280">
        <f>AI!AA41</f>
        <v>12243.247676633369</v>
      </c>
      <c r="L56" s="280">
        <f>AI_Comps!N11</f>
        <v>510</v>
      </c>
      <c r="M56" s="280">
        <f>AI_Comps!N22</f>
        <v>80</v>
      </c>
      <c r="N56" s="377" t="s">
        <v>107</v>
      </c>
    </row>
    <row r="57" spans="2:14" outlineLevel="1" x14ac:dyDescent="0.45">
      <c r="C57" s="156" t="s">
        <v>291</v>
      </c>
      <c r="D57" s="25" t="s">
        <v>18</v>
      </c>
      <c r="E57" s="38">
        <v>0.8</v>
      </c>
      <c r="G57" s="156" t="s">
        <v>308</v>
      </c>
      <c r="I57" s="26" t="s">
        <v>239</v>
      </c>
      <c r="J57" s="226">
        <f>AI!G51</f>
        <v>2.4672727272727273</v>
      </c>
      <c r="K57" s="226">
        <f>AI!AA51</f>
        <v>8.5843420460265722</v>
      </c>
      <c r="L57" s="379" t="s">
        <v>107</v>
      </c>
      <c r="M57" s="379" t="s">
        <v>107</v>
      </c>
      <c r="N57" s="379" t="s">
        <v>107</v>
      </c>
    </row>
    <row r="58" spans="2:14" outlineLevel="1" x14ac:dyDescent="0.45">
      <c r="C58" s="156" t="s">
        <v>292</v>
      </c>
      <c r="D58" s="25" t="s">
        <v>18</v>
      </c>
      <c r="E58" s="38">
        <v>-0.15</v>
      </c>
    </row>
    <row r="59" spans="2:14" outlineLevel="1" x14ac:dyDescent="0.45">
      <c r="C59" s="156" t="s">
        <v>287</v>
      </c>
      <c r="D59" s="25" t="s">
        <v>18</v>
      </c>
      <c r="E59" s="38">
        <v>0.02</v>
      </c>
      <c r="G59" s="156" t="s">
        <v>309</v>
      </c>
      <c r="I59" s="25" t="s">
        <v>238</v>
      </c>
      <c r="J59" s="280">
        <f>AI!G40</f>
        <v>0</v>
      </c>
      <c r="K59" s="280">
        <f>AI!AA40</f>
        <v>3060.8119191583428</v>
      </c>
      <c r="L59" s="379" t="s">
        <v>107</v>
      </c>
      <c r="M59" s="379" t="s">
        <v>107</v>
      </c>
      <c r="N59" s="379" t="s">
        <v>107</v>
      </c>
    </row>
    <row r="60" spans="2:14" outlineLevel="1" x14ac:dyDescent="0.45">
      <c r="C60" s="156"/>
      <c r="G60" s="156" t="s">
        <v>310</v>
      </c>
      <c r="I60" s="26" t="s">
        <v>239</v>
      </c>
      <c r="J60" s="282">
        <f>AI!I54</f>
        <v>30</v>
      </c>
      <c r="K60" s="282">
        <f>AI!AA54</f>
        <v>33.944985695126491</v>
      </c>
      <c r="L60" s="282">
        <f>AI_Comps!Q11</f>
        <v>7.5533260564478404</v>
      </c>
      <c r="M60" s="282">
        <f>AI_Comps!Q22</f>
        <v>3.99125</v>
      </c>
      <c r="N60" s="379" t="s">
        <v>107</v>
      </c>
    </row>
    <row r="61" spans="2:14" outlineLevel="1" x14ac:dyDescent="0.45">
      <c r="C61" s="156" t="s">
        <v>300</v>
      </c>
      <c r="D61" s="25" t="s">
        <v>18</v>
      </c>
      <c r="E61" s="38">
        <v>0.03</v>
      </c>
    </row>
    <row r="62" spans="2:14" outlineLevel="1" x14ac:dyDescent="0.45">
      <c r="C62" s="156"/>
      <c r="D62" s="25"/>
      <c r="E62" s="278"/>
      <c r="G62" s="156" t="s">
        <v>311</v>
      </c>
      <c r="I62" s="26" t="s">
        <v>241</v>
      </c>
      <c r="J62" s="217">
        <f>AI!G57</f>
        <v>520</v>
      </c>
      <c r="K62" s="217">
        <f>AI!AA57</f>
        <v>1658.9799567027917</v>
      </c>
      <c r="L62" s="379" t="s">
        <v>107</v>
      </c>
      <c r="M62" s="379" t="s">
        <v>107</v>
      </c>
    </row>
    <row r="63" spans="2:14" outlineLevel="1" x14ac:dyDescent="0.45">
      <c r="C63" s="156" t="s">
        <v>301</v>
      </c>
      <c r="D63" s="25" t="s">
        <v>18</v>
      </c>
      <c r="E63" s="277">
        <f>_xlfn.XLOOKUP(Scenario,$C64:$C66,E64:E66)</f>
        <v>0.05</v>
      </c>
      <c r="G63" s="156" t="s">
        <v>312</v>
      </c>
      <c r="I63" s="26" t="s">
        <v>242</v>
      </c>
      <c r="J63" s="226">
        <f>AI!G60</f>
        <v>3.8217616580310882</v>
      </c>
      <c r="K63" s="226">
        <f>AI!AA60</f>
        <v>7.5986160553224789</v>
      </c>
      <c r="L63" s="379" t="s">
        <v>107</v>
      </c>
      <c r="M63" s="379" t="s">
        <v>107</v>
      </c>
    </row>
    <row r="64" spans="2:14" outlineLevel="1" x14ac:dyDescent="0.45">
      <c r="C64" s="195" t="str">
        <f>$C$26</f>
        <v>Elon</v>
      </c>
      <c r="D64" s="26" t="s">
        <v>18</v>
      </c>
      <c r="E64" s="38">
        <v>0.06</v>
      </c>
      <c r="J64" s="227"/>
      <c r="K64" s="186"/>
      <c r="L64" s="186"/>
      <c r="M64" s="186"/>
    </row>
    <row r="65" spans="3:14" outlineLevel="1" x14ac:dyDescent="0.45">
      <c r="C65" s="195" t="str">
        <f>$C$27</f>
        <v>Optimistic</v>
      </c>
      <c r="D65" s="26" t="s">
        <v>18</v>
      </c>
      <c r="E65" s="38">
        <v>0.05</v>
      </c>
      <c r="G65" s="156" t="s">
        <v>220</v>
      </c>
      <c r="I65" s="25" t="s">
        <v>20</v>
      </c>
      <c r="J65" s="186">
        <f>AI!G80</f>
        <v>3201</v>
      </c>
      <c r="K65" s="186">
        <f>AI!AA80</f>
        <v>221605.39435620361</v>
      </c>
      <c r="L65" s="186">
        <f>AI_Comps!P11</f>
        <v>3552.4500000000003</v>
      </c>
      <c r="M65" s="186">
        <f>AI_Comps!P22</f>
        <v>209.8</v>
      </c>
      <c r="N65" s="186">
        <f>AI_Comps!P32</f>
        <v>3947.15</v>
      </c>
    </row>
    <row r="66" spans="3:14" outlineLevel="1" x14ac:dyDescent="0.45">
      <c r="C66" s="195" t="str">
        <f>$C$28</f>
        <v>Realistic</v>
      </c>
      <c r="D66" s="26" t="s">
        <v>18</v>
      </c>
      <c r="E66" s="38">
        <v>0.04</v>
      </c>
      <c r="G66" s="156" t="s">
        <v>416</v>
      </c>
      <c r="I66" s="26" t="s">
        <v>18</v>
      </c>
      <c r="J66" s="378">
        <f>(AI!J31/AI!G31)^(1/3)-1</f>
        <v>0.64544196572978541</v>
      </c>
      <c r="K66" s="378">
        <f>(AI!AA80/AI!X80)^(1/3)-1</f>
        <v>8.1929633757559461E-2</v>
      </c>
      <c r="L66" s="227">
        <f>AI_Comps!T11</f>
        <v>1.674503432201615</v>
      </c>
      <c r="M66" s="227">
        <f>AI_Comps!T22</f>
        <v>1.0063399210295749</v>
      </c>
      <c r="N66" s="227">
        <f>AI_Comps!T32</f>
        <v>0.11699547353283957</v>
      </c>
    </row>
    <row r="67" spans="3:14" outlineLevel="1" x14ac:dyDescent="0.45">
      <c r="C67" s="156"/>
      <c r="G67" s="156" t="s">
        <v>88</v>
      </c>
      <c r="I67" s="26" t="s">
        <v>18</v>
      </c>
      <c r="J67" s="227">
        <f>AI!G70</f>
        <v>0.31958762886597936</v>
      </c>
      <c r="K67" s="227">
        <f>AI!AA70</f>
        <v>0.70000000000000062</v>
      </c>
      <c r="L67" s="227">
        <f>AI_Comps!R11</f>
        <v>0.70750000000000002</v>
      </c>
      <c r="M67" s="227">
        <f>AI_Comps!R22</f>
        <v>0.64</v>
      </c>
      <c r="N67" s="227">
        <f>AI_Comps!R32</f>
        <v>0.76900000000000002</v>
      </c>
    </row>
    <row r="68" spans="3:14" outlineLevel="1" x14ac:dyDescent="0.45">
      <c r="C68" s="156" t="s">
        <v>288</v>
      </c>
      <c r="D68" s="25" t="s">
        <v>18</v>
      </c>
      <c r="E68" s="38">
        <v>0.2</v>
      </c>
      <c r="G68" s="156" t="s">
        <v>222</v>
      </c>
      <c r="I68" s="26" t="s">
        <v>18</v>
      </c>
      <c r="J68" s="227">
        <f>AI!G111</f>
        <v>-0.71852546079350199</v>
      </c>
      <c r="K68" s="227">
        <f>AI!AA111</f>
        <v>0.69336440140666433</v>
      </c>
      <c r="L68" s="227">
        <f>AI_Comps!U11</f>
        <v>0.49914999999999998</v>
      </c>
      <c r="M68" s="227">
        <f>AI_Comps!U22</f>
        <v>0.32850000000000001</v>
      </c>
      <c r="N68" s="227">
        <f>AI_Comps!U32</f>
        <v>0.3352</v>
      </c>
    </row>
    <row r="69" spans="3:14" outlineLevel="1" x14ac:dyDescent="0.45">
      <c r="C69" s="156"/>
      <c r="G69" s="156" t="s">
        <v>221</v>
      </c>
      <c r="I69" s="26" t="s">
        <v>18</v>
      </c>
      <c r="J69" s="227">
        <f>AI!G97</f>
        <v>3.9759450171821307</v>
      </c>
      <c r="K69" s="227">
        <f>AI!AA97</f>
        <v>0.14201937043107649</v>
      </c>
      <c r="L69" s="227">
        <f>AI_Comps!S11</f>
        <v>4.7470621994875764</v>
      </c>
      <c r="M69" s="227">
        <f>AI_Comps!S22</f>
        <v>4.6844014510278109</v>
      </c>
      <c r="N69" s="227">
        <f>AI_Comps!S32</f>
        <v>1.3496390266598501E-2</v>
      </c>
    </row>
    <row r="70" spans="3:14" outlineLevel="1" x14ac:dyDescent="0.45">
      <c r="C70" s="156" t="s">
        <v>302</v>
      </c>
      <c r="E70" s="116" t="s">
        <v>299</v>
      </c>
      <c r="G70" s="156" t="s">
        <v>317</v>
      </c>
      <c r="I70" s="26" t="s">
        <v>18</v>
      </c>
      <c r="J70" s="227">
        <f>AI!G91</f>
        <v>1.1146516713527024</v>
      </c>
      <c r="K70" s="227">
        <f>AI!AA91</f>
        <v>9.3364401406663841E-2</v>
      </c>
      <c r="L70" s="379" t="s">
        <v>107</v>
      </c>
      <c r="M70" s="379" t="s">
        <v>107</v>
      </c>
      <c r="N70" s="379" t="s">
        <v>107</v>
      </c>
    </row>
    <row r="71" spans="3:14" outlineLevel="1" x14ac:dyDescent="0.45">
      <c r="C71" s="156" t="s">
        <v>293</v>
      </c>
      <c r="E71" s="116" t="s">
        <v>299</v>
      </c>
      <c r="G71" s="156" t="s">
        <v>2</v>
      </c>
      <c r="I71" s="26" t="s">
        <v>18</v>
      </c>
      <c r="J71" s="333">
        <f>E53</f>
        <v>0.14616674989904763</v>
      </c>
      <c r="K71" s="333">
        <f>E55</f>
        <v>9.6166749899047624E-2</v>
      </c>
      <c r="L71" s="245">
        <f>WACC!H54</f>
        <v>0.14616674989904763</v>
      </c>
      <c r="M71" s="245">
        <f>WACC!H55</f>
        <v>0.25857635576848598</v>
      </c>
      <c r="N71" s="245">
        <f>WACC!H56</f>
        <v>0.14038149827005619</v>
      </c>
    </row>
    <row r="72" spans="3:14" outlineLevel="1" x14ac:dyDescent="0.45">
      <c r="C72" s="156"/>
    </row>
    <row r="73" spans="3:14" outlineLevel="1" x14ac:dyDescent="0.45">
      <c r="C73" s="156" t="s">
        <v>295</v>
      </c>
      <c r="D73" s="25" t="s">
        <v>18</v>
      </c>
      <c r="E73" s="38">
        <v>0.2</v>
      </c>
      <c r="G73" s="157" t="s">
        <v>417</v>
      </c>
      <c r="I73" s="25" t="s">
        <v>20</v>
      </c>
      <c r="J73" s="356">
        <f>AI!O26</f>
        <v>109958.46905986435</v>
      </c>
    </row>
    <row r="74" spans="3:14" ht="15.9" customHeight="1" outlineLevel="1" x14ac:dyDescent="0.45">
      <c r="C74" s="156" t="s">
        <v>292</v>
      </c>
      <c r="D74" s="25" t="s">
        <v>18</v>
      </c>
      <c r="E74" s="38">
        <v>-0.05</v>
      </c>
    </row>
    <row r="75" spans="3:14" ht="15.9" customHeight="1" outlineLevel="1" x14ac:dyDescent="0.45">
      <c r="C75" s="156" t="s">
        <v>287</v>
      </c>
      <c r="D75" s="25" t="s">
        <v>18</v>
      </c>
      <c r="E75" s="38">
        <v>0.05</v>
      </c>
      <c r="G75" s="157" t="s">
        <v>233</v>
      </c>
    </row>
    <row r="76" spans="3:14" ht="15.9" customHeight="1" outlineLevel="1" x14ac:dyDescent="0.45">
      <c r="C76" s="156"/>
    </row>
    <row r="77" spans="3:14" outlineLevel="1" x14ac:dyDescent="0.45">
      <c r="C77" s="156" t="s">
        <v>249</v>
      </c>
      <c r="E77" s="116" t="s">
        <v>299</v>
      </c>
      <c r="G77" s="230"/>
      <c r="H77" s="231"/>
      <c r="I77" s="232" t="s">
        <v>175</v>
      </c>
      <c r="J77" s="238"/>
      <c r="K77" s="238"/>
    </row>
    <row r="78" spans="3:14" outlineLevel="1" x14ac:dyDescent="0.45">
      <c r="C78" s="156"/>
      <c r="G78" s="288"/>
      <c r="H78" s="234">
        <f>AI!$O$26</f>
        <v>109958.46905986435</v>
      </c>
      <c r="I78" s="344" t="str">
        <f>$I$40</f>
        <v>Realistic</v>
      </c>
      <c r="J78" s="344" t="str">
        <f>$J$40</f>
        <v>Optimistic</v>
      </c>
      <c r="K78" s="345" t="str">
        <f>$K$40</f>
        <v>Elon</v>
      </c>
    </row>
    <row r="79" spans="3:14" outlineLevel="1" x14ac:dyDescent="0.45">
      <c r="C79" s="156" t="s">
        <v>289</v>
      </c>
      <c r="D79" s="25" t="s">
        <v>18</v>
      </c>
      <c r="E79" s="38">
        <v>0.45</v>
      </c>
      <c r="G79" s="376" t="s">
        <v>52</v>
      </c>
      <c r="H79" s="237">
        <f>H80+1%</f>
        <v>0.16499090273054207</v>
      </c>
      <c r="I79" s="242">
        <f t="dataTable" ref="I79:K83" dt2D="1" dtr="1" r1="K15" r2="E53"/>
        <v>18256.399977661284</v>
      </c>
      <c r="J79" s="242">
        <v>42492.677917058187</v>
      </c>
      <c r="K79" s="249">
        <v>68608.411604678346</v>
      </c>
    </row>
    <row r="80" spans="3:14" outlineLevel="1" x14ac:dyDescent="0.45">
      <c r="C80" s="156" t="s">
        <v>201</v>
      </c>
      <c r="D80" s="25" t="s">
        <v>18</v>
      </c>
      <c r="E80" s="38">
        <v>0.7</v>
      </c>
      <c r="G80" s="374"/>
      <c r="H80" s="237">
        <f>H81+1%</f>
        <v>0.15499090273054206</v>
      </c>
      <c r="I80" s="243">
        <v>42185.969030612367</v>
      </c>
      <c r="J80" s="243">
        <v>73523.88602183148</v>
      </c>
      <c r="K80" s="248">
        <v>107711.67481486493</v>
      </c>
    </row>
    <row r="81" spans="2:14" outlineLevel="1" x14ac:dyDescent="0.45">
      <c r="C81" s="156"/>
      <c r="G81" s="374"/>
      <c r="H81" s="247">
        <v>0.14499090273054205</v>
      </c>
      <c r="I81" s="244">
        <v>74340.244041057405</v>
      </c>
      <c r="J81" s="244">
        <v>115639.24525432507</v>
      </c>
      <c r="K81" s="250">
        <v>161416.34670666591</v>
      </c>
    </row>
    <row r="82" spans="2:14" outlineLevel="1" x14ac:dyDescent="0.45">
      <c r="C82" s="156" t="s">
        <v>290</v>
      </c>
      <c r="D82" s="25" t="s">
        <v>18</v>
      </c>
      <c r="E82" s="38">
        <v>1</v>
      </c>
      <c r="G82" s="374"/>
      <c r="H82" s="237">
        <f>H81-1%</f>
        <v>0.13499090273054204</v>
      </c>
      <c r="I82" s="243">
        <v>118576.32674312826</v>
      </c>
      <c r="J82" s="243">
        <v>174387.78263156323</v>
      </c>
      <c r="K82" s="248">
        <v>237568.67765430937</v>
      </c>
    </row>
    <row r="83" spans="2:14" outlineLevel="1" x14ac:dyDescent="0.45">
      <c r="C83" s="156" t="s">
        <v>298</v>
      </c>
      <c r="D83" s="25" t="s">
        <v>18</v>
      </c>
      <c r="E83" s="38">
        <v>-0.15</v>
      </c>
      <c r="G83" s="375"/>
      <c r="H83" s="236">
        <f t="shared" ref="H83" si="1">H82-1%</f>
        <v>0.12499090273054204</v>
      </c>
      <c r="I83" s="243">
        <v>181386.19289168477</v>
      </c>
      <c r="J83" s="243">
        <v>259439.58880149855</v>
      </c>
      <c r="K83" s="248">
        <v>350402.49914802698</v>
      </c>
    </row>
    <row r="84" spans="2:14" outlineLevel="1" x14ac:dyDescent="0.45">
      <c r="C84" s="156" t="s">
        <v>202</v>
      </c>
      <c r="D84" s="25" t="s">
        <v>18</v>
      </c>
      <c r="E84" s="38">
        <v>0.1</v>
      </c>
    </row>
    <row r="86" spans="2:14" x14ac:dyDescent="0.45">
      <c r="B86" s="163" t="str">
        <f>Div_3&amp;" Drivers and Benchmarks:"</f>
        <v>Space Drivers and Benchmarks:</v>
      </c>
      <c r="C86" s="163"/>
      <c r="D86" s="164" t="str">
        <f>$D$5</f>
        <v>Units:</v>
      </c>
      <c r="E86" s="164"/>
      <c r="F86" s="163"/>
      <c r="G86" s="164"/>
      <c r="H86" s="164"/>
      <c r="I86" s="164" t="str">
        <f>$D$5</f>
        <v>Units:</v>
      </c>
      <c r="J86" s="164"/>
      <c r="K86" s="164"/>
      <c r="L86" s="164"/>
      <c r="M86" s="164"/>
      <c r="N86" s="164"/>
    </row>
    <row r="87" spans="2:14" outlineLevel="1" x14ac:dyDescent="0.45"/>
    <row r="88" spans="2:14" outlineLevel="1" x14ac:dyDescent="0.45">
      <c r="C88" s="14" t="s">
        <v>52</v>
      </c>
      <c r="D88" s="25" t="s">
        <v>18</v>
      </c>
      <c r="E88" s="222">
        <f>WACC!H71</f>
        <v>0.14017151654187768</v>
      </c>
      <c r="G88" s="223"/>
      <c r="H88" s="223"/>
      <c r="I88" s="223"/>
      <c r="J88" s="289" t="str">
        <f>Div_3&amp;":"</f>
        <v>Space:</v>
      </c>
      <c r="K88" s="285"/>
      <c r="L88" s="284" t="s">
        <v>319</v>
      </c>
      <c r="M88" s="284"/>
      <c r="N88" s="302"/>
    </row>
    <row r="89" spans="2:14" outlineLevel="1" x14ac:dyDescent="0.45">
      <c r="C89" s="14" t="s">
        <v>231</v>
      </c>
      <c r="D89" s="25" t="s">
        <v>18</v>
      </c>
      <c r="E89" s="240">
        <v>0.06</v>
      </c>
      <c r="G89" s="223"/>
      <c r="H89" s="223"/>
      <c r="I89" s="223"/>
      <c r="J89" s="290" t="s">
        <v>318</v>
      </c>
      <c r="K89" s="286"/>
      <c r="L89" s="225" t="s">
        <v>374</v>
      </c>
      <c r="M89" s="225" t="s">
        <v>376</v>
      </c>
      <c r="N89" s="302"/>
    </row>
    <row r="90" spans="2:14" outlineLevel="1" x14ac:dyDescent="0.45">
      <c r="C90" s="14" t="s">
        <v>53</v>
      </c>
      <c r="D90" s="25" t="s">
        <v>18</v>
      </c>
      <c r="E90" s="241">
        <f>E88-E89</f>
        <v>8.017151654187768E-2</v>
      </c>
      <c r="G90" s="172" t="s">
        <v>225</v>
      </c>
      <c r="H90" s="172"/>
      <c r="I90" s="224"/>
      <c r="J90" s="291" t="s">
        <v>25</v>
      </c>
      <c r="K90" s="287" t="s">
        <v>224</v>
      </c>
      <c r="L90" s="224" t="s">
        <v>375</v>
      </c>
      <c r="M90" s="224" t="s">
        <v>377</v>
      </c>
      <c r="N90" s="302"/>
    </row>
    <row r="91" spans="2:14" outlineLevel="1" x14ac:dyDescent="0.45">
      <c r="G91" s="156" t="s">
        <v>371</v>
      </c>
      <c r="I91" s="25" t="s">
        <v>321</v>
      </c>
      <c r="J91" s="280">
        <f>SPC!G31</f>
        <v>42</v>
      </c>
      <c r="K91" s="280">
        <f>SPC!AA31</f>
        <v>435.69042489014822</v>
      </c>
      <c r="L91" s="377" t="s">
        <v>107</v>
      </c>
      <c r="M91" s="377" t="s">
        <v>107</v>
      </c>
      <c r="N91" s="303"/>
    </row>
    <row r="92" spans="2:14" outlineLevel="1" x14ac:dyDescent="0.45">
      <c r="C92" s="156" t="s">
        <v>326</v>
      </c>
      <c r="D92" s="25" t="s">
        <v>18</v>
      </c>
      <c r="E92" s="277">
        <f>_xlfn.XLOOKUP(Scenario,$C93:$C95,E93:E95)</f>
        <v>0.2</v>
      </c>
      <c r="G92" s="156" t="s">
        <v>331</v>
      </c>
      <c r="I92" s="25" t="s">
        <v>347</v>
      </c>
      <c r="J92" s="380">
        <f>J91/365</f>
        <v>0.11506849315068493</v>
      </c>
      <c r="K92" s="380">
        <f>K91/365</f>
        <v>1.1936723969593102</v>
      </c>
      <c r="L92" s="377" t="s">
        <v>107</v>
      </c>
      <c r="M92" s="377" t="s">
        <v>107</v>
      </c>
      <c r="N92" s="303"/>
    </row>
    <row r="93" spans="2:14" outlineLevel="1" x14ac:dyDescent="0.45">
      <c r="C93" s="195" t="str">
        <f>$C$26</f>
        <v>Elon</v>
      </c>
      <c r="D93" s="26" t="s">
        <v>18</v>
      </c>
      <c r="E93" s="38">
        <v>0.25</v>
      </c>
      <c r="G93" s="156" t="s">
        <v>372</v>
      </c>
      <c r="I93" s="25" t="s">
        <v>324</v>
      </c>
      <c r="J93" s="297">
        <f>SPC!G34</f>
        <v>97.285714285714292</v>
      </c>
      <c r="K93" s="297">
        <f>SPC!AA34</f>
        <v>341.43852622772704</v>
      </c>
      <c r="L93" s="377" t="s">
        <v>107</v>
      </c>
      <c r="M93" s="377" t="s">
        <v>107</v>
      </c>
      <c r="N93" s="303"/>
    </row>
    <row r="94" spans="2:14" outlineLevel="1" x14ac:dyDescent="0.45">
      <c r="C94" s="195" t="str">
        <f>$C$27</f>
        <v>Optimistic</v>
      </c>
      <c r="D94" s="26" t="s">
        <v>18</v>
      </c>
      <c r="E94" s="38">
        <v>0.2</v>
      </c>
      <c r="G94" s="156" t="s">
        <v>373</v>
      </c>
      <c r="I94" s="26" t="s">
        <v>18</v>
      </c>
      <c r="J94" s="381">
        <f>27621/(619+4086-865)</f>
        <v>7.1929687500000004</v>
      </c>
      <c r="K94" s="377" t="s">
        <v>107</v>
      </c>
      <c r="L94" s="304">
        <f>SPC_Comps!O18</f>
        <v>1.6447368421052633</v>
      </c>
      <c r="M94" s="304">
        <f>SPC_Comps!O29</f>
        <v>2.4818256863632731</v>
      </c>
      <c r="N94" s="281"/>
    </row>
    <row r="95" spans="2:14" outlineLevel="1" x14ac:dyDescent="0.45">
      <c r="C95" s="195" t="str">
        <f>$C$28</f>
        <v>Realistic</v>
      </c>
      <c r="D95" s="26" t="s">
        <v>18</v>
      </c>
      <c r="E95" s="38">
        <v>0.15</v>
      </c>
      <c r="G95" s="156"/>
      <c r="I95" s="26"/>
      <c r="J95" s="282"/>
      <c r="K95" s="282"/>
      <c r="L95" s="371"/>
      <c r="M95" s="371"/>
    </row>
    <row r="96" spans="2:14" outlineLevel="1" x14ac:dyDescent="0.45">
      <c r="G96" s="156" t="s">
        <v>220</v>
      </c>
      <c r="I96" s="25" t="s">
        <v>20</v>
      </c>
      <c r="J96" s="186">
        <f>SPC!G59</f>
        <v>4086</v>
      </c>
      <c r="K96" s="186">
        <f>SPC!AA59</f>
        <v>148761.49656602441</v>
      </c>
      <c r="L96" s="186">
        <f>SPC_Comps!P18</f>
        <v>396.3</v>
      </c>
      <c r="M96" s="186">
        <f>SPC_Comps!P29</f>
        <v>75106</v>
      </c>
      <c r="N96" s="281"/>
    </row>
    <row r="97" spans="3:14" outlineLevel="1" x14ac:dyDescent="0.45">
      <c r="C97" s="156" t="s">
        <v>327</v>
      </c>
      <c r="D97" s="25" t="s">
        <v>18</v>
      </c>
      <c r="E97" s="38">
        <v>0.05</v>
      </c>
      <c r="G97" s="156" t="s">
        <v>416</v>
      </c>
      <c r="I97" s="26" t="s">
        <v>18</v>
      </c>
      <c r="J97" s="378">
        <f>(SPC!J59/SPC!G59)^(1/3)-1</f>
        <v>0.30689979646338528</v>
      </c>
      <c r="K97" s="378">
        <f>(SPC!AA59/SPC!X59)^(1/3)-1</f>
        <v>9.3504154961503883E-2</v>
      </c>
      <c r="L97" s="227">
        <f>SPC_Comps!S18</f>
        <v>0.41723723470794072</v>
      </c>
      <c r="M97" s="227">
        <f>SPC_Comps!S29</f>
        <v>5.7581469599421675E-2</v>
      </c>
      <c r="N97" s="227"/>
    </row>
    <row r="98" spans="3:14" outlineLevel="1" x14ac:dyDescent="0.45">
      <c r="G98" s="156" t="s">
        <v>88</v>
      </c>
      <c r="I98" s="26" t="s">
        <v>18</v>
      </c>
      <c r="J98" s="227">
        <f>SPC!G41</f>
        <v>0.66911404796867346</v>
      </c>
      <c r="K98" s="227">
        <f>SPC!AA41</f>
        <v>0.59999999999999898</v>
      </c>
      <c r="L98" s="227">
        <f>SPC_Comps!Q18</f>
        <v>0.22900000000000001</v>
      </c>
      <c r="M98" s="227">
        <f>SPC_Comps!Q29</f>
        <v>0.152</v>
      </c>
      <c r="N98" s="227"/>
    </row>
    <row r="99" spans="3:14" outlineLevel="1" x14ac:dyDescent="0.45">
      <c r="C99" s="156" t="s">
        <v>369</v>
      </c>
      <c r="D99" s="25" t="s">
        <v>18</v>
      </c>
      <c r="E99" s="38">
        <v>0.1</v>
      </c>
      <c r="G99" s="156" t="s">
        <v>222</v>
      </c>
      <c r="I99" s="26" t="s">
        <v>18</v>
      </c>
      <c r="J99" s="227">
        <f>SPC!G90</f>
        <v>3.3773861967694566E-2</v>
      </c>
      <c r="K99" s="227">
        <f>SPC!AA90</f>
        <v>0.42457340647413022</v>
      </c>
      <c r="L99" s="227">
        <f>SPC_Comps!T18</f>
        <v>3.4599999999999999E-2</v>
      </c>
      <c r="M99" s="227">
        <f>SPC_Comps!T29</f>
        <v>0.14130000000000001</v>
      </c>
      <c r="N99" s="227"/>
    </row>
    <row r="100" spans="3:14" outlineLevel="1" x14ac:dyDescent="0.45">
      <c r="C100" s="156" t="s">
        <v>370</v>
      </c>
      <c r="D100" s="25" t="s">
        <v>18</v>
      </c>
      <c r="E100" s="38">
        <v>0.03</v>
      </c>
      <c r="G100" s="156" t="s">
        <v>221</v>
      </c>
      <c r="I100" s="26" t="s">
        <v>18</v>
      </c>
      <c r="J100" s="227">
        <f>SPC!G76</f>
        <v>0.93783651492902598</v>
      </c>
      <c r="K100" s="227">
        <f>SPC!AA76</f>
        <v>5.3253642360774366E-2</v>
      </c>
      <c r="L100" s="227">
        <f>SPC_Comps!R18</f>
        <v>0.11604041679823177</v>
      </c>
      <c r="M100" s="227">
        <f>SPC_Comps!R29</f>
        <v>2.9433569760879907E-2</v>
      </c>
      <c r="N100" s="227"/>
    </row>
    <row r="101" spans="3:14" outlineLevel="1" x14ac:dyDescent="0.45">
      <c r="C101" s="195"/>
      <c r="D101" s="26"/>
      <c r="E101" s="274"/>
      <c r="G101" s="156" t="s">
        <v>317</v>
      </c>
      <c r="I101" s="26" t="s">
        <v>18</v>
      </c>
      <c r="J101" s="227">
        <f>SPC!G70</f>
        <v>0.18526676456191873</v>
      </c>
      <c r="K101" s="227">
        <f>SPC!AA70</f>
        <v>2.4573406474131729E-2</v>
      </c>
      <c r="L101" s="377" t="s">
        <v>107</v>
      </c>
      <c r="M101" s="377" t="s">
        <v>107</v>
      </c>
      <c r="N101" s="281"/>
    </row>
    <row r="102" spans="3:14" outlineLevel="1" x14ac:dyDescent="0.45">
      <c r="C102" s="156" t="s">
        <v>328</v>
      </c>
      <c r="D102" s="25" t="s">
        <v>18</v>
      </c>
      <c r="E102" s="38">
        <v>0.67</v>
      </c>
      <c r="G102" s="156" t="s">
        <v>2</v>
      </c>
      <c r="I102" s="26" t="s">
        <v>18</v>
      </c>
      <c r="J102" s="333">
        <f>E88</f>
        <v>0.14017151654187768</v>
      </c>
      <c r="K102" s="333">
        <f>E90</f>
        <v>8.017151654187768E-2</v>
      </c>
      <c r="L102" s="245">
        <f>WACC!H71</f>
        <v>0.14017151654187768</v>
      </c>
      <c r="M102" s="245">
        <f>WACC!H72</f>
        <v>8.0608484095514396E-2</v>
      </c>
      <c r="N102" s="245"/>
    </row>
    <row r="103" spans="3:14" outlineLevel="1" x14ac:dyDescent="0.45">
      <c r="C103" s="156" t="s">
        <v>201</v>
      </c>
      <c r="D103" s="25" t="s">
        <v>18</v>
      </c>
      <c r="E103" s="38">
        <v>0.6</v>
      </c>
    </row>
    <row r="104" spans="3:14" outlineLevel="1" x14ac:dyDescent="0.45">
      <c r="C104" s="156"/>
      <c r="G104" s="157" t="s">
        <v>417</v>
      </c>
      <c r="I104" s="25" t="s">
        <v>20</v>
      </c>
      <c r="J104" s="356">
        <f>SPC!O26</f>
        <v>104541.87926013143</v>
      </c>
    </row>
    <row r="105" spans="3:14" outlineLevel="1" x14ac:dyDescent="0.45">
      <c r="C105" s="156" t="s">
        <v>329</v>
      </c>
      <c r="D105" s="25" t="s">
        <v>18</v>
      </c>
      <c r="E105" s="38">
        <v>0.7</v>
      </c>
    </row>
    <row r="106" spans="3:14" outlineLevel="1" x14ac:dyDescent="0.45">
      <c r="C106" s="156" t="s">
        <v>202</v>
      </c>
      <c r="D106" s="25" t="s">
        <v>18</v>
      </c>
      <c r="E106" s="38">
        <v>0.2</v>
      </c>
      <c r="G106" s="157" t="s">
        <v>233</v>
      </c>
    </row>
    <row r="107" spans="3:14" ht="15.9" customHeight="1" outlineLevel="1" x14ac:dyDescent="0.45">
      <c r="C107" s="156"/>
    </row>
    <row r="108" spans="3:14" ht="15.9" customHeight="1" outlineLevel="1" x14ac:dyDescent="0.45">
      <c r="C108" s="156" t="s">
        <v>302</v>
      </c>
      <c r="E108" s="116" t="s">
        <v>330</v>
      </c>
      <c r="G108" s="230"/>
      <c r="H108" s="231"/>
      <c r="I108" s="295" t="s">
        <v>175</v>
      </c>
      <c r="J108" s="296"/>
      <c r="K108" s="296"/>
    </row>
    <row r="109" spans="3:14" outlineLevel="1" x14ac:dyDescent="0.45">
      <c r="C109" s="156" t="s">
        <v>293</v>
      </c>
      <c r="E109" s="116" t="s">
        <v>330</v>
      </c>
      <c r="G109" s="288"/>
      <c r="H109" s="234">
        <f>SPC!$O$26</f>
        <v>104541.87926013143</v>
      </c>
      <c r="I109" s="344" t="str">
        <f>$I$40</f>
        <v>Realistic</v>
      </c>
      <c r="J109" s="344" t="str">
        <f>$J$40</f>
        <v>Optimistic</v>
      </c>
      <c r="K109" s="345" t="str">
        <f>$K$40</f>
        <v>Elon</v>
      </c>
    </row>
    <row r="110" spans="3:14" outlineLevel="1" x14ac:dyDescent="0.45">
      <c r="G110" s="376" t="s">
        <v>52</v>
      </c>
      <c r="H110" s="237">
        <f>H111+1%</f>
        <v>0.16000000000000003</v>
      </c>
      <c r="I110" s="242">
        <f t="dataTable" ref="I110:K114" dt2D="1" dtr="1" r1="K15" r2="E88" ca="1"/>
        <v>37866.901098633709</v>
      </c>
      <c r="J110" s="242">
        <v>62637.155761370523</v>
      </c>
      <c r="K110" s="249">
        <v>101313.35387023512</v>
      </c>
    </row>
    <row r="111" spans="3:14" ht="15.9" customHeight="1" outlineLevel="1" x14ac:dyDescent="0.45">
      <c r="G111" s="374"/>
      <c r="H111" s="237">
        <f>H112+1%</f>
        <v>0.15000000000000002</v>
      </c>
      <c r="I111" s="243">
        <v>48620.011416662419</v>
      </c>
      <c r="J111" s="243">
        <v>80463.070731859989</v>
      </c>
      <c r="K111" s="248">
        <v>130649.93391425234</v>
      </c>
    </row>
    <row r="112" spans="3:14" outlineLevel="1" x14ac:dyDescent="0.45">
      <c r="G112" s="374"/>
      <c r="H112" s="247">
        <v>0.14000000000000001</v>
      </c>
      <c r="I112" s="244">
        <v>63258.932103593099</v>
      </c>
      <c r="J112" s="244">
        <v>105037.79852318067</v>
      </c>
      <c r="K112" s="250">
        <v>171689.57947065838</v>
      </c>
    </row>
    <row r="113" spans="2:14" outlineLevel="1" x14ac:dyDescent="0.45">
      <c r="G113" s="374"/>
      <c r="H113" s="237">
        <f>H112-1%</f>
        <v>0.13</v>
      </c>
      <c r="I113" s="243">
        <v>83771.725161240378</v>
      </c>
      <c r="J113" s="243">
        <v>140057.12449090599</v>
      </c>
      <c r="K113" s="248">
        <v>231343.76518085838</v>
      </c>
    </row>
    <row r="114" spans="2:14" outlineLevel="1" x14ac:dyDescent="0.45">
      <c r="G114" s="375"/>
      <c r="H114" s="236">
        <f t="shared" ref="H114" si="2">H113-1%</f>
        <v>0.12000000000000001</v>
      </c>
      <c r="I114" s="243">
        <v>113634.73829948397</v>
      </c>
      <c r="J114" s="243">
        <v>192244.68257138276</v>
      </c>
      <c r="K114" s="248">
        <v>322786.76373593288</v>
      </c>
    </row>
    <row r="116" spans="2:14" x14ac:dyDescent="0.45">
      <c r="B116" s="163" t="s">
        <v>394</v>
      </c>
      <c r="C116" s="163"/>
      <c r="D116" s="164" t="str">
        <f>$D$5</f>
        <v>Units:</v>
      </c>
      <c r="E116" s="164"/>
      <c r="F116" s="163"/>
      <c r="G116" s="163"/>
      <c r="H116" s="164"/>
      <c r="I116" s="164"/>
      <c r="J116" s="164" t="str">
        <f>$D$5</f>
        <v>Units:</v>
      </c>
      <c r="K116" s="163"/>
      <c r="L116" s="163"/>
      <c r="M116" s="163"/>
      <c r="N116" s="163"/>
    </row>
    <row r="117" spans="2:14" outlineLevel="1" x14ac:dyDescent="0.45">
      <c r="C117" s="156"/>
      <c r="D117" s="26"/>
      <c r="E117" s="169"/>
    </row>
    <row r="118" spans="2:14" outlineLevel="1" x14ac:dyDescent="0.45">
      <c r="C118" s="172" t="s">
        <v>179</v>
      </c>
      <c r="D118" s="173"/>
      <c r="E118" s="173"/>
      <c r="G118" s="172" t="s">
        <v>393</v>
      </c>
      <c r="H118" s="173"/>
      <c r="I118" s="173"/>
      <c r="J118" s="173"/>
      <c r="K118" s="173"/>
    </row>
    <row r="119" spans="2:14" outlineLevel="1" x14ac:dyDescent="0.45">
      <c r="C119" s="156" t="str">
        <f>"(+) PV of "&amp;Div_1&amp;":"</f>
        <v>(+) PV of Starlink:</v>
      </c>
      <c r="D119" s="26" t="s">
        <v>20</v>
      </c>
      <c r="E119" s="220">
        <f>$J$35</f>
        <v>231145.66374412453</v>
      </c>
      <c r="G119" s="326"/>
      <c r="H119" s="326"/>
      <c r="I119" s="326"/>
      <c r="K119" s="326"/>
    </row>
    <row r="120" spans="2:14" outlineLevel="1" x14ac:dyDescent="0.45">
      <c r="C120" s="156" t="str">
        <f>"(+) PV of "&amp;Div_2&amp;":"</f>
        <v>(+) PV of AI:</v>
      </c>
      <c r="D120" s="26" t="s">
        <v>20</v>
      </c>
      <c r="E120" s="283">
        <f>$J$73</f>
        <v>109958.46905986435</v>
      </c>
      <c r="G120" s="14" t="s">
        <v>396</v>
      </c>
      <c r="H120" s="5"/>
      <c r="I120" s="5"/>
      <c r="J120" s="26" t="s">
        <v>18</v>
      </c>
      <c r="K120" s="89">
        <v>0.01</v>
      </c>
    </row>
    <row r="121" spans="2:14" outlineLevel="1" x14ac:dyDescent="0.45">
      <c r="C121" s="156" t="str">
        <f>"(+) PV of "&amp;Div_3&amp;":"</f>
        <v>(+) PV of Space:</v>
      </c>
      <c r="D121" s="26" t="s">
        <v>20</v>
      </c>
      <c r="E121" s="175">
        <f>$J$104</f>
        <v>104541.87926013143</v>
      </c>
      <c r="G121" s="156"/>
      <c r="H121" s="330"/>
      <c r="K121" s="329"/>
    </row>
    <row r="122" spans="2:14" outlineLevel="1" x14ac:dyDescent="0.45">
      <c r="C122" s="156" t="s">
        <v>388</v>
      </c>
      <c r="D122" s="26" t="s">
        <v>20</v>
      </c>
      <c r="E122" s="175">
        <f>K123</f>
        <v>-5497.2894902946809</v>
      </c>
      <c r="F122" s="175"/>
      <c r="G122" s="156" t="s">
        <v>395</v>
      </c>
      <c r="H122" s="327"/>
      <c r="I122" s="328"/>
      <c r="J122" s="26" t="s">
        <v>20</v>
      </c>
      <c r="K122" s="175">
        <f>AA185*(1+K120)/(AA177-K120)</f>
        <v>-29240.685047365536</v>
      </c>
    </row>
    <row r="123" spans="2:14" outlineLevel="1" x14ac:dyDescent="0.45">
      <c r="C123" s="156" t="s">
        <v>389</v>
      </c>
      <c r="D123" s="26" t="s">
        <v>20</v>
      </c>
      <c r="E123" s="175">
        <f>K126</f>
        <v>1374.3223725736682</v>
      </c>
      <c r="G123" s="156" t="s">
        <v>398</v>
      </c>
      <c r="H123" s="327"/>
      <c r="J123" s="26" t="s">
        <v>20</v>
      </c>
      <c r="K123" s="341">
        <f>K122*AA178</f>
        <v>-5497.2894902946809</v>
      </c>
    </row>
    <row r="124" spans="2:14" outlineLevel="1" x14ac:dyDescent="0.45">
      <c r="C124" s="177" t="s">
        <v>180</v>
      </c>
      <c r="D124" s="178" t="s">
        <v>20</v>
      </c>
      <c r="E124" s="179">
        <f>SUM(E119:E123)</f>
        <v>441523.04494639928</v>
      </c>
      <c r="G124" s="157"/>
      <c r="H124" s="331"/>
      <c r="I124" s="157"/>
      <c r="K124" s="340"/>
    </row>
    <row r="125" spans="2:14" outlineLevel="1" x14ac:dyDescent="0.45">
      <c r="C125" s="156" t="s">
        <v>390</v>
      </c>
      <c r="D125" s="26" t="s">
        <v>20</v>
      </c>
      <c r="E125" s="337">
        <v>0</v>
      </c>
      <c r="G125" s="156" t="s">
        <v>399</v>
      </c>
      <c r="J125" s="26" t="s">
        <v>20</v>
      </c>
      <c r="K125" s="175">
        <f>AA188*(1+K120)/(AA177-K120)</f>
        <v>7310.171261841374</v>
      </c>
    </row>
    <row r="126" spans="2:14" outlineLevel="1" x14ac:dyDescent="0.45">
      <c r="C126" s="156" t="s">
        <v>378</v>
      </c>
      <c r="D126" s="26" t="s">
        <v>20</v>
      </c>
      <c r="E126" s="180">
        <f>15852+7823+1293</f>
        <v>24968</v>
      </c>
      <c r="G126" s="156" t="s">
        <v>398</v>
      </c>
      <c r="J126" s="26" t="s">
        <v>20</v>
      </c>
      <c r="K126" s="341">
        <f>K125*AA178</f>
        <v>1374.3223725736682</v>
      </c>
    </row>
    <row r="127" spans="2:14" outlineLevel="1" x14ac:dyDescent="0.45">
      <c r="C127" s="156" t="s">
        <v>392</v>
      </c>
      <c r="D127" s="26" t="s">
        <v>20</v>
      </c>
      <c r="E127" s="180">
        <f>-WACC!G20</f>
        <v>-30447</v>
      </c>
    </row>
    <row r="128" spans="2:14" outlineLevel="1" x14ac:dyDescent="0.45">
      <c r="C128" s="156" t="s">
        <v>391</v>
      </c>
      <c r="D128" s="339" t="s">
        <v>20</v>
      </c>
      <c r="E128" s="338">
        <v>-7049</v>
      </c>
    </row>
    <row r="129" spans="2:27" outlineLevel="1" x14ac:dyDescent="0.45">
      <c r="C129" s="177" t="s">
        <v>181</v>
      </c>
      <c r="D129" s="182" t="s">
        <v>20</v>
      </c>
      <c r="E129" s="179">
        <f>SUM(E124:E128)</f>
        <v>428995.04494639928</v>
      </c>
    </row>
    <row r="131" spans="2:27" x14ac:dyDescent="0.45">
      <c r="B131" s="183"/>
      <c r="C131" s="183"/>
      <c r="D131" s="184"/>
      <c r="E131" s="21" t="s">
        <v>25</v>
      </c>
      <c r="F131" s="21"/>
      <c r="G131" s="22"/>
      <c r="H131" s="21" t="s">
        <v>59</v>
      </c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</row>
    <row r="132" spans="2:27" x14ac:dyDescent="0.45">
      <c r="B132" s="163" t="s">
        <v>182</v>
      </c>
      <c r="C132" s="163"/>
      <c r="D132" s="164" t="s">
        <v>17</v>
      </c>
      <c r="E132" s="2">
        <f>EOMONTH(F132,-Months)</f>
        <v>45291</v>
      </c>
      <c r="F132" s="2">
        <f>EOMONTH(G132,-Months)</f>
        <v>45657</v>
      </c>
      <c r="G132" s="3">
        <f>Hist_Year</f>
        <v>46022</v>
      </c>
      <c r="H132" s="2">
        <f t="shared" ref="H132:AA132" si="3">EOMONTH(G132,Months)</f>
        <v>46387</v>
      </c>
      <c r="I132" s="4">
        <f t="shared" si="3"/>
        <v>46752</v>
      </c>
      <c r="J132" s="4">
        <f t="shared" si="3"/>
        <v>47118</v>
      </c>
      <c r="K132" s="4">
        <f t="shared" si="3"/>
        <v>47483</v>
      </c>
      <c r="L132" s="4">
        <f t="shared" si="3"/>
        <v>47848</v>
      </c>
      <c r="M132" s="4">
        <f t="shared" si="3"/>
        <v>48213</v>
      </c>
      <c r="N132" s="4">
        <f t="shared" si="3"/>
        <v>48579</v>
      </c>
      <c r="O132" s="4">
        <f t="shared" si="3"/>
        <v>48944</v>
      </c>
      <c r="P132" s="4">
        <f t="shared" si="3"/>
        <v>49309</v>
      </c>
      <c r="Q132" s="4">
        <f t="shared" si="3"/>
        <v>49674</v>
      </c>
      <c r="R132" s="4">
        <f t="shared" si="3"/>
        <v>50040</v>
      </c>
      <c r="S132" s="4">
        <f t="shared" si="3"/>
        <v>50405</v>
      </c>
      <c r="T132" s="4">
        <f t="shared" si="3"/>
        <v>50770</v>
      </c>
      <c r="U132" s="4">
        <f t="shared" si="3"/>
        <v>51135</v>
      </c>
      <c r="V132" s="4">
        <f t="shared" si="3"/>
        <v>51501</v>
      </c>
      <c r="W132" s="4">
        <f t="shared" si="3"/>
        <v>51866</v>
      </c>
      <c r="X132" s="4">
        <f t="shared" si="3"/>
        <v>52231</v>
      </c>
      <c r="Y132" s="4">
        <f t="shared" si="3"/>
        <v>52596</v>
      </c>
      <c r="Z132" s="4">
        <f t="shared" si="3"/>
        <v>52962</v>
      </c>
      <c r="AA132" s="4">
        <f t="shared" si="3"/>
        <v>53327</v>
      </c>
    </row>
    <row r="133" spans="2:27" outlineLevel="1" x14ac:dyDescent="0.45"/>
    <row r="134" spans="2:27" outlineLevel="1" x14ac:dyDescent="0.45">
      <c r="C134" s="185" t="s">
        <v>214</v>
      </c>
      <c r="D134" s="157"/>
      <c r="E134" s="157"/>
      <c r="F134" s="157"/>
      <c r="G134" s="157"/>
      <c r="H134" s="157"/>
      <c r="I134" s="157"/>
      <c r="J134" s="157"/>
      <c r="K134" s="157"/>
      <c r="L134" s="157"/>
      <c r="M134" s="157"/>
      <c r="N134" s="157"/>
      <c r="O134" s="157"/>
      <c r="P134" s="157"/>
      <c r="Q134" s="157"/>
      <c r="R134" s="157"/>
      <c r="S134" s="157"/>
      <c r="T134" s="157"/>
      <c r="U134" s="157"/>
      <c r="V134" s="157"/>
      <c r="W134" s="157"/>
      <c r="X134" s="157"/>
    </row>
    <row r="135" spans="2:27" outlineLevel="1" x14ac:dyDescent="0.45">
      <c r="C135" s="156" t="str">
        <f>"(+) "&amp;Div_1&amp;":"</f>
        <v>(+) Starlink:</v>
      </c>
      <c r="D135" s="26" t="s">
        <v>20</v>
      </c>
      <c r="E135" s="186">
        <f>STLK!E77</f>
        <v>3869</v>
      </c>
      <c r="F135" s="186">
        <f>STLK!F77</f>
        <v>7599</v>
      </c>
      <c r="G135" s="186">
        <f>STLK!G77</f>
        <v>11387</v>
      </c>
      <c r="H135" s="186">
        <f>STLK!H77</f>
        <v>16168.226512376372</v>
      </c>
      <c r="I135" s="186">
        <f>STLK!I77</f>
        <v>20925.290945014051</v>
      </c>
      <c r="J135" s="186">
        <f>STLK!J77</f>
        <v>25228.436059530719</v>
      </c>
      <c r="K135" s="186">
        <f>STLK!K77</f>
        <v>29250.362886308303</v>
      </c>
      <c r="L135" s="186">
        <f>STLK!L77</f>
        <v>33131.630137778353</v>
      </c>
      <c r="M135" s="186">
        <f>STLK!M77</f>
        <v>36987.208644354287</v>
      </c>
      <c r="N135" s="186">
        <f>STLK!N77</f>
        <v>40894.816748194142</v>
      </c>
      <c r="O135" s="186">
        <f>STLK!O77</f>
        <v>44616.698926038618</v>
      </c>
      <c r="P135" s="186">
        <f>STLK!P77</f>
        <v>48156.82331835771</v>
      </c>
      <c r="Q135" s="186">
        <f>STLK!Q77</f>
        <v>51519.411702551733</v>
      </c>
      <c r="R135" s="186">
        <f>STLK!R77</f>
        <v>54708.884697452304</v>
      </c>
      <c r="S135" s="186">
        <f>STLK!S77</f>
        <v>57729.807845632764</v>
      </c>
      <c r="T135" s="186">
        <f>STLK!T77</f>
        <v>60586.839090106951</v>
      </c>
      <c r="U135" s="186">
        <f>STLK!U77</f>
        <v>63284.678147543236</v>
      </c>
      <c r="V135" s="186">
        <f>STLK!V77</f>
        <v>65828.018259813689</v>
      </c>
      <c r="W135" s="186">
        <f>STLK!W77</f>
        <v>68221.500779622642</v>
      </c>
      <c r="X135" s="186">
        <f>STLK!X77</f>
        <v>70469.673014283937</v>
      </c>
      <c r="Y135" s="186">
        <f>STLK!Y77</f>
        <v>72576.949714699847</v>
      </c>
      <c r="Z135" s="186">
        <f>STLK!Z77</f>
        <v>74547.57855457667</v>
      </c>
      <c r="AA135" s="186">
        <f>STLK!AA77</f>
        <v>76385.609898322495</v>
      </c>
    </row>
    <row r="136" spans="2:27" outlineLevel="1" x14ac:dyDescent="0.45">
      <c r="C136" s="156" t="str">
        <f>"(+) "&amp;Div_2&amp;":"</f>
        <v>(+) AI:</v>
      </c>
      <c r="D136" s="26" t="s">
        <v>20</v>
      </c>
      <c r="E136" s="174">
        <f>AI!E80</f>
        <v>2961</v>
      </c>
      <c r="F136" s="174">
        <f>AI!F80</f>
        <v>2620</v>
      </c>
      <c r="G136" s="174">
        <f>AI!G80</f>
        <v>3201</v>
      </c>
      <c r="H136" s="174">
        <f>AI!H80</f>
        <v>14496.591564540744</v>
      </c>
      <c r="I136" s="174">
        <f>AI!I80</f>
        <v>31674.530003253592</v>
      </c>
      <c r="J136" s="174">
        <f>AI!J80</f>
        <v>40758.7126806503</v>
      </c>
      <c r="K136" s="174">
        <f>AI!K80</f>
        <v>49891.798456530632</v>
      </c>
      <c r="L136" s="174">
        <f>AI!L80</f>
        <v>57300.691222631722</v>
      </c>
      <c r="M136" s="174">
        <f>AI!M80</f>
        <v>67225.302088566124</v>
      </c>
      <c r="N136" s="174">
        <f>AI!N80</f>
        <v>75224.260389964911</v>
      </c>
      <c r="O136" s="174">
        <f>AI!O80</f>
        <v>82570.297829210744</v>
      </c>
      <c r="P136" s="174">
        <f>AI!P80</f>
        <v>90085.941932280257</v>
      </c>
      <c r="Q136" s="174">
        <f>AI!Q80</f>
        <v>98188.469087598816</v>
      </c>
      <c r="R136" s="174">
        <f>AI!R80</f>
        <v>106916.96073594356</v>
      </c>
      <c r="S136" s="174">
        <f>AI!S80</f>
        <v>116312.99901433002</v>
      </c>
      <c r="T136" s="174">
        <f>AI!T80</f>
        <v>126420.96174968385</v>
      </c>
      <c r="U136" s="174">
        <f>AI!U80</f>
        <v>137288.36387052119</v>
      </c>
      <c r="V136" s="174">
        <f>AI!V80</f>
        <v>148966.24688621244</v>
      </c>
      <c r="W136" s="174">
        <f>AI!W80</f>
        <v>161509.61707555232</v>
      </c>
      <c r="X136" s="174">
        <f>AI!X80</f>
        <v>174977.9319621278</v>
      </c>
      <c r="Y136" s="174">
        <f>AI!Y80</f>
        <v>189435.63359041282</v>
      </c>
      <c r="Z136" s="174">
        <f>AI!Z80</f>
        <v>204952.72611650839</v>
      </c>
      <c r="AA136" s="174">
        <f>AI!AA80</f>
        <v>221605.39435620361</v>
      </c>
    </row>
    <row r="137" spans="2:27" outlineLevel="1" x14ac:dyDescent="0.45">
      <c r="C137" s="156" t="str">
        <f>"(+) "&amp;Div_3&amp;":"</f>
        <v>(+) Space:</v>
      </c>
      <c r="D137" s="181" t="s">
        <v>20</v>
      </c>
      <c r="E137" s="174">
        <f>SPC!E59</f>
        <v>3557</v>
      </c>
      <c r="F137" s="174">
        <f>SPC!F59</f>
        <v>3796</v>
      </c>
      <c r="G137" s="174">
        <f>SPC!G59</f>
        <v>4086</v>
      </c>
      <c r="H137" s="174">
        <f>SPC!H59</f>
        <v>5393.52</v>
      </c>
      <c r="I137" s="174">
        <f>SPC!I59</f>
        <v>7048.9197762880885</v>
      </c>
      <c r="J137" s="174">
        <f>SPC!J59</f>
        <v>9120.6383033356378</v>
      </c>
      <c r="K137" s="174">
        <f>SPC!K59</f>
        <v>11683.045000515016</v>
      </c>
      <c r="L137" s="174">
        <f>SPC!L59</f>
        <v>14814.618868741705</v>
      </c>
      <c r="M137" s="174">
        <f>SPC!M59</f>
        <v>18595.321915362209</v>
      </c>
      <c r="N137" s="174">
        <f>SPC!N59</f>
        <v>23103.116406933335</v>
      </c>
      <c r="O137" s="174">
        <f>SPC!O59</f>
        <v>28409.633455885956</v>
      </c>
      <c r="P137" s="174">
        <f>SPC!P59</f>
        <v>34575.074795132299</v>
      </c>
      <c r="Q137" s="174">
        <f>SPC!Q59</f>
        <v>41642.516988331758</v>
      </c>
      <c r="R137" s="174">
        <f>SPC!R59</f>
        <v>49631.881881993417</v>
      </c>
      <c r="S137" s="174">
        <f>SPC!S59</f>
        <v>58533.930457943927</v>
      </c>
      <c r="T137" s="174">
        <f>SPC!T59</f>
        <v>68304.718960425103</v>
      </c>
      <c r="U137" s="174">
        <f>SPC!U59</f>
        <v>78861.014605523596</v>
      </c>
      <c r="V137" s="174">
        <f>SPC!V59</f>
        <v>90077.191707756298</v>
      </c>
      <c r="W137" s="174">
        <f>SPC!W59</f>
        <v>101784.10761343126</v>
      </c>
      <c r="X137" s="174">
        <f>SPC!X59</f>
        <v>113770.38457426835</v>
      </c>
      <c r="Y137" s="174">
        <f>SPC!Y59</f>
        <v>125786.39659048834</v>
      </c>
      <c r="Z137" s="174">
        <f>SPC!Z59</f>
        <v>137551.08327880205</v>
      </c>
      <c r="AA137" s="174">
        <f>SPC!AA59</f>
        <v>148761.49656602441</v>
      </c>
    </row>
    <row r="138" spans="2:27" s="157" customFormat="1" outlineLevel="1" x14ac:dyDescent="0.45">
      <c r="C138" s="187" t="s">
        <v>70</v>
      </c>
      <c r="D138" s="26" t="s">
        <v>20</v>
      </c>
      <c r="E138" s="188">
        <f>SUM(E135:E137)</f>
        <v>10387</v>
      </c>
      <c r="F138" s="188">
        <f t="shared" ref="F138:AA138" si="4">SUM(F135:F137)</f>
        <v>14015</v>
      </c>
      <c r="G138" s="188">
        <f t="shared" si="4"/>
        <v>18674</v>
      </c>
      <c r="H138" s="188">
        <f t="shared" si="4"/>
        <v>36058.33807691712</v>
      </c>
      <c r="I138" s="188">
        <f t="shared" si="4"/>
        <v>59648.740724555733</v>
      </c>
      <c r="J138" s="188">
        <f t="shared" si="4"/>
        <v>75107.787043516655</v>
      </c>
      <c r="K138" s="188">
        <f t="shared" si="4"/>
        <v>90825.206343353959</v>
      </c>
      <c r="L138" s="188">
        <f t="shared" si="4"/>
        <v>105246.94022915178</v>
      </c>
      <c r="M138" s="188">
        <f t="shared" si="4"/>
        <v>122807.83264828261</v>
      </c>
      <c r="N138" s="188">
        <f t="shared" si="4"/>
        <v>139222.19354509239</v>
      </c>
      <c r="O138" s="188">
        <f t="shared" si="4"/>
        <v>155596.63021113531</v>
      </c>
      <c r="P138" s="188">
        <f t="shared" si="4"/>
        <v>172817.84004577025</v>
      </c>
      <c r="Q138" s="188">
        <f t="shared" si="4"/>
        <v>191350.39777848229</v>
      </c>
      <c r="R138" s="188">
        <f t="shared" si="4"/>
        <v>211257.72731538929</v>
      </c>
      <c r="S138" s="188">
        <f t="shared" si="4"/>
        <v>232576.73731790672</v>
      </c>
      <c r="T138" s="188">
        <f t="shared" si="4"/>
        <v>255312.5198002159</v>
      </c>
      <c r="U138" s="188">
        <f t="shared" si="4"/>
        <v>279434.05662358803</v>
      </c>
      <c r="V138" s="188">
        <f t="shared" si="4"/>
        <v>304871.45685378241</v>
      </c>
      <c r="W138" s="188">
        <f t="shared" si="4"/>
        <v>331515.22546860622</v>
      </c>
      <c r="X138" s="188">
        <f t="shared" si="4"/>
        <v>359217.9895506801</v>
      </c>
      <c r="Y138" s="188">
        <f t="shared" si="4"/>
        <v>387798.97989560099</v>
      </c>
      <c r="Z138" s="188">
        <f t="shared" si="4"/>
        <v>417051.38794988714</v>
      </c>
      <c r="AA138" s="188">
        <f t="shared" si="4"/>
        <v>446752.50082055049</v>
      </c>
    </row>
    <row r="139" spans="2:27" s="189" customFormat="1" outlineLevel="1" x14ac:dyDescent="0.45">
      <c r="C139" s="190" t="s">
        <v>183</v>
      </c>
      <c r="D139" s="26" t="s">
        <v>18</v>
      </c>
      <c r="E139" s="191" t="str">
        <f>IFERROR(E138/D138-1, "N/A")</f>
        <v>N/A</v>
      </c>
      <c r="F139" s="191">
        <f>IFERROR(F138/E138-1, "N/A")</f>
        <v>0.34928275729276992</v>
      </c>
      <c r="G139" s="191">
        <f t="shared" ref="G139:AA139" si="5">IFERROR(G138/F138-1, "N/A")</f>
        <v>0.3324295397788084</v>
      </c>
      <c r="H139" s="191">
        <f t="shared" si="5"/>
        <v>0.9309380998670409</v>
      </c>
      <c r="I139" s="191">
        <f t="shared" si="5"/>
        <v>0.65422878329326273</v>
      </c>
      <c r="J139" s="191">
        <f t="shared" si="5"/>
        <v>0.25916802485985868</v>
      </c>
      <c r="K139" s="191">
        <f t="shared" si="5"/>
        <v>0.2092648434806208</v>
      </c>
      <c r="L139" s="191">
        <f t="shared" si="5"/>
        <v>0.15878558900574546</v>
      </c>
      <c r="M139" s="191">
        <f t="shared" si="5"/>
        <v>0.16685418484276981</v>
      </c>
      <c r="N139" s="191">
        <f t="shared" si="5"/>
        <v>0.13365890874257147</v>
      </c>
      <c r="O139" s="191">
        <f t="shared" si="5"/>
        <v>0.11761369541085021</v>
      </c>
      <c r="P139" s="191">
        <f t="shared" si="5"/>
        <v>0.11067855268630677</v>
      </c>
      <c r="Q139" s="191">
        <f t="shared" si="5"/>
        <v>0.10723752668013753</v>
      </c>
      <c r="R139" s="191">
        <f t="shared" si="5"/>
        <v>0.1040359976672367</v>
      </c>
      <c r="S139" s="191">
        <f t="shared" si="5"/>
        <v>0.10091469918489659</v>
      </c>
      <c r="T139" s="191">
        <f t="shared" si="5"/>
        <v>9.7756047077192765E-2</v>
      </c>
      <c r="U139" s="191">
        <f t="shared" si="5"/>
        <v>9.4478472274870828E-2</v>
      </c>
      <c r="V139" s="191">
        <f t="shared" si="5"/>
        <v>9.1031853946349273E-2</v>
      </c>
      <c r="W139" s="191">
        <f t="shared" si="5"/>
        <v>8.7393450635827374E-2</v>
      </c>
      <c r="X139" s="191">
        <f t="shared" si="5"/>
        <v>8.3564077767213307E-2</v>
      </c>
      <c r="Y139" s="191">
        <f t="shared" si="5"/>
        <v>7.9564473874682129E-2</v>
      </c>
      <c r="Z139" s="191">
        <f t="shared" si="5"/>
        <v>7.5431884999184851E-2</v>
      </c>
      <c r="AA139" s="191">
        <f t="shared" si="5"/>
        <v>7.1216914099401674E-2</v>
      </c>
    </row>
    <row r="140" spans="2:27" outlineLevel="1" x14ac:dyDescent="0.45">
      <c r="C140" s="167"/>
      <c r="D140" s="189"/>
      <c r="G140" s="372"/>
    </row>
    <row r="141" spans="2:27" outlineLevel="1" x14ac:dyDescent="0.45">
      <c r="C141" s="185" t="s">
        <v>215</v>
      </c>
      <c r="D141" s="157"/>
    </row>
    <row r="142" spans="2:27" outlineLevel="1" x14ac:dyDescent="0.45">
      <c r="C142" s="156" t="str">
        <f>"(+) "&amp;Div_1&amp;":"</f>
        <v>(+) Starlink:</v>
      </c>
      <c r="D142" s="26" t="s">
        <v>20</v>
      </c>
      <c r="E142" s="174">
        <f>STLK!E80</f>
        <v>469</v>
      </c>
      <c r="F142" s="174">
        <f>STLK!F80</f>
        <v>2045</v>
      </c>
      <c r="G142" s="174">
        <f>STLK!G80</f>
        <v>4423</v>
      </c>
      <c r="H142" s="174">
        <f>STLK!H80</f>
        <v>6619.665526191935</v>
      </c>
      <c r="I142" s="174">
        <f>STLK!I80</f>
        <v>9006.7325668245558</v>
      </c>
      <c r="J142" s="174">
        <f>STLK!J80</f>
        <v>11388.677013825276</v>
      </c>
      <c r="K142" s="174">
        <f>STLK!K80</f>
        <v>13818.491010132611</v>
      </c>
      <c r="L142" s="174">
        <f>STLK!L80</f>
        <v>16069.364345058628</v>
      </c>
      <c r="M142" s="174">
        <f>STLK!M80</f>
        <v>18346.201184539415</v>
      </c>
      <c r="N142" s="174">
        <f>STLK!N80</f>
        <v>20734.232343500295</v>
      </c>
      <c r="O142" s="174">
        <f>STLK!O80</f>
        <v>23112.014266454782</v>
      </c>
      <c r="P142" s="174">
        <f>STLK!P80</f>
        <v>25475.517777325513</v>
      </c>
      <c r="Q142" s="174">
        <f>STLK!Q80</f>
        <v>27821.025248104048</v>
      </c>
      <c r="R142" s="174">
        <f>STLK!R80</f>
        <v>30145.114354705918</v>
      </c>
      <c r="S142" s="174">
        <f>STLK!S80</f>
        <v>32444.638710005522</v>
      </c>
      <c r="T142" s="174">
        <f>STLK!T80</f>
        <v>34716.705737639226</v>
      </c>
      <c r="U142" s="174">
        <f>STLK!U80</f>
        <v>36958.652187179614</v>
      </c>
      <c r="V142" s="174">
        <f>STLK!V80</f>
        <v>39168.017723383862</v>
      </c>
      <c r="W142" s="174">
        <f>STLK!W80</f>
        <v>41342.517048813606</v>
      </c>
      <c r="X142" s="174">
        <f>STLK!X80</f>
        <v>43480.011039681318</v>
      </c>
      <c r="Y142" s="174">
        <f>STLK!Y80</f>
        <v>45578.477388847044</v>
      </c>
      <c r="Z142" s="174">
        <f>STLK!Z80</f>
        <v>47635.981257096588</v>
      </c>
      <c r="AA142" s="174">
        <f>STLK!AA80</f>
        <v>49650.646433909606</v>
      </c>
    </row>
    <row r="143" spans="2:27" outlineLevel="1" x14ac:dyDescent="0.45">
      <c r="C143" s="156" t="str">
        <f>"(+) "&amp;Div_2&amp;":"</f>
        <v>(+) AI:</v>
      </c>
      <c r="D143" s="26" t="s">
        <v>20</v>
      </c>
      <c r="E143" s="174">
        <f>AI!E83</f>
        <v>39</v>
      </c>
      <c r="F143" s="174">
        <f>AI!F83</f>
        <v>-1348</v>
      </c>
      <c r="G143" s="174">
        <f>AI!G83</f>
        <v>-5868</v>
      </c>
      <c r="H143" s="174">
        <f>AI!H83</f>
        <v>-7973.1253604974099</v>
      </c>
      <c r="I143" s="174">
        <f>AI!I83</f>
        <v>-12253.041869679677</v>
      </c>
      <c r="J143" s="174">
        <f>AI!J83</f>
        <v>-9117.0804680401961</v>
      </c>
      <c r="K143" s="174">
        <f>AI!K83</f>
        <v>-3019.7667486847495</v>
      </c>
      <c r="L143" s="174">
        <f>AI!L83</f>
        <v>5880.8604149543135</v>
      </c>
      <c r="M143" s="174">
        <f>AI!M83</f>
        <v>17867.77766038206</v>
      </c>
      <c r="N143" s="174">
        <f>AI!N83</f>
        <v>32267.248535695478</v>
      </c>
      <c r="O143" s="174">
        <f>AI!O83</f>
        <v>36504.763250808966</v>
      </c>
      <c r="P143" s="174">
        <f>AI!P83</f>
        <v>41012.810406011813</v>
      </c>
      <c r="Q143" s="174">
        <f>AI!Q83</f>
        <v>45993.546046296309</v>
      </c>
      <c r="R143" s="174">
        <f>AI!R83</f>
        <v>51488.957407046531</v>
      </c>
      <c r="S143" s="174">
        <f>AI!S83</f>
        <v>57544.325828142253</v>
      </c>
      <c r="T143" s="174">
        <f>AI!T83</f>
        <v>64208.541099181566</v>
      </c>
      <c r="U143" s="174">
        <f>AI!U83</f>
        <v>71534.463279903197</v>
      </c>
      <c r="V143" s="174">
        <f>AI!V83</f>
        <v>79579.33715237143</v>
      </c>
      <c r="W143" s="174">
        <f>AI!W83</f>
        <v>88405.264083460279</v>
      </c>
      <c r="X143" s="174">
        <f>AI!X83</f>
        <v>98079.735547192773</v>
      </c>
      <c r="Y143" s="174">
        <f>AI!Y83</f>
        <v>108676.23190186851</v>
      </c>
      <c r="Z143" s="174">
        <f>AI!Z83</f>
        <v>120274.88927363532</v>
      </c>
      <c r="AA143" s="174">
        <f>AI!AA83</f>
        <v>132963.23661372229</v>
      </c>
    </row>
    <row r="144" spans="2:27" outlineLevel="1" x14ac:dyDescent="0.45">
      <c r="C144" s="156" t="str">
        <f>"(+) "&amp;Div_3&amp;":"</f>
        <v>(+) Space:</v>
      </c>
      <c r="D144" s="181" t="s">
        <v>20</v>
      </c>
      <c r="E144" s="174">
        <f>SPC!E62</f>
        <v>-1</v>
      </c>
      <c r="F144" s="174">
        <f>SPC!F62</f>
        <v>45</v>
      </c>
      <c r="G144" s="174">
        <f>SPC!G62</f>
        <v>-619</v>
      </c>
      <c r="H144" s="174">
        <f>SPC!H62</f>
        <v>-161.80559999999969</v>
      </c>
      <c r="I144" s="174">
        <f>SPC!I62</f>
        <v>-51.939408877911774</v>
      </c>
      <c r="J144" s="174">
        <f>SPC!J62</f>
        <v>139.20974252459655</v>
      </c>
      <c r="K144" s="174">
        <f>SPC!K62</f>
        <v>442.72591580898825</v>
      </c>
      <c r="L144" s="174">
        <f>SPC!L62</f>
        <v>896.67429995015118</v>
      </c>
      <c r="M144" s="174">
        <f>SPC!M62</f>
        <v>1546.3478224353785</v>
      </c>
      <c r="N144" s="174">
        <f>SPC!N62</f>
        <v>2444.0665251545161</v>
      </c>
      <c r="O144" s="174">
        <f>SPC!O62</f>
        <v>3648.3950332821823</v>
      </c>
      <c r="P144" s="174">
        <f>SPC!P62</f>
        <v>5222.6560348436469</v>
      </c>
      <c r="Q144" s="174">
        <f>SPC!Q62</f>
        <v>7232.6476874470645</v>
      </c>
      <c r="R144" s="174">
        <f>SPC!R62</f>
        <v>9743.5220747281455</v>
      </c>
      <c r="S144" s="174">
        <f>SPC!S62</f>
        <v>12815.85003710767</v>
      </c>
      <c r="T144" s="174">
        <f>SPC!T62</f>
        <v>16500.982106755266</v>
      </c>
      <c r="U144" s="174">
        <f>SPC!U62</f>
        <v>20835.91017472247</v>
      </c>
      <c r="V144" s="174">
        <f>SPC!V62</f>
        <v>25837.931305645787</v>
      </c>
      <c r="W144" s="174">
        <f>SPC!W62</f>
        <v>31499.502777209134</v>
      </c>
      <c r="X144" s="174">
        <f>SPC!X62</f>
        <v>37783.743508612126</v>
      </c>
      <c r="Y144" s="174">
        <f>SPC!Y62</f>
        <v>44621.0691063099</v>
      </c>
      <c r="Z144" s="174">
        <f>SPC!Z62</f>
        <v>51907.435111000363</v>
      </c>
      <c r="AA144" s="174">
        <f>SPC!AA62</f>
        <v>59504.598626409541</v>
      </c>
    </row>
    <row r="145" spans="3:27" outlineLevel="1" x14ac:dyDescent="0.45">
      <c r="C145" s="187" t="s">
        <v>216</v>
      </c>
      <c r="D145" s="26" t="s">
        <v>20</v>
      </c>
      <c r="E145" s="188">
        <f>SUM(E142:E144)</f>
        <v>507</v>
      </c>
      <c r="F145" s="188">
        <f t="shared" ref="F145:AA145" si="6">SUM(F142:F144)</f>
        <v>742</v>
      </c>
      <c r="G145" s="188">
        <f t="shared" si="6"/>
        <v>-2064</v>
      </c>
      <c r="H145" s="188">
        <f t="shared" si="6"/>
        <v>-1515.2654343054746</v>
      </c>
      <c r="I145" s="188">
        <f t="shared" si="6"/>
        <v>-3298.2487117330329</v>
      </c>
      <c r="J145" s="188">
        <f t="shared" si="6"/>
        <v>2410.8062883096763</v>
      </c>
      <c r="K145" s="188">
        <f t="shared" si="6"/>
        <v>11241.450177256851</v>
      </c>
      <c r="L145" s="188">
        <f t="shared" si="6"/>
        <v>22846.899059963092</v>
      </c>
      <c r="M145" s="188">
        <f t="shared" si="6"/>
        <v>37760.326667356858</v>
      </c>
      <c r="N145" s="188">
        <f t="shared" si="6"/>
        <v>55445.547404350291</v>
      </c>
      <c r="O145" s="188">
        <f t="shared" si="6"/>
        <v>63265.172550545933</v>
      </c>
      <c r="P145" s="188">
        <f t="shared" si="6"/>
        <v>71710.984218180965</v>
      </c>
      <c r="Q145" s="188">
        <f t="shared" si="6"/>
        <v>81047.218981847429</v>
      </c>
      <c r="R145" s="188">
        <f t="shared" si="6"/>
        <v>91377.593836480592</v>
      </c>
      <c r="S145" s="188">
        <f t="shared" si="6"/>
        <v>102804.81457525544</v>
      </c>
      <c r="T145" s="188">
        <f t="shared" si="6"/>
        <v>115426.22894357606</v>
      </c>
      <c r="U145" s="188">
        <f t="shared" si="6"/>
        <v>129329.02564180529</v>
      </c>
      <c r="V145" s="188">
        <f t="shared" si="6"/>
        <v>144585.28618140108</v>
      </c>
      <c r="W145" s="188">
        <f t="shared" si="6"/>
        <v>161247.28390948303</v>
      </c>
      <c r="X145" s="188">
        <f t="shared" si="6"/>
        <v>179343.49009548622</v>
      </c>
      <c r="Y145" s="188">
        <f t="shared" si="6"/>
        <v>198875.77839702545</v>
      </c>
      <c r="Z145" s="188">
        <f t="shared" si="6"/>
        <v>219818.3056417323</v>
      </c>
      <c r="AA145" s="188">
        <f t="shared" si="6"/>
        <v>242118.48167404142</v>
      </c>
    </row>
    <row r="146" spans="3:27" outlineLevel="1" x14ac:dyDescent="0.45">
      <c r="C146" s="190" t="s">
        <v>217</v>
      </c>
      <c r="D146" s="26" t="s">
        <v>18</v>
      </c>
      <c r="E146" s="191">
        <f>IFERROR(E145/E138, "N/A")</f>
        <v>4.8811013767209012E-2</v>
      </c>
      <c r="F146" s="191">
        <f t="shared" ref="F146:AA146" si="7">IFERROR(F145/F138, "N/A")</f>
        <v>5.2943275062433105E-2</v>
      </c>
      <c r="G146" s="191">
        <f t="shared" si="7"/>
        <v>-0.11052800685445004</v>
      </c>
      <c r="H146" s="191">
        <f t="shared" si="7"/>
        <v>-4.2022608781170576E-2</v>
      </c>
      <c r="I146" s="191">
        <f t="shared" si="7"/>
        <v>-5.5294523768131043E-2</v>
      </c>
      <c r="J146" s="191">
        <f t="shared" si="7"/>
        <v>3.2097953930034985E-2</v>
      </c>
      <c r="K146" s="191">
        <f t="shared" si="7"/>
        <v>0.12377015841571422</v>
      </c>
      <c r="L146" s="191">
        <f t="shared" si="7"/>
        <v>0.21707898595644734</v>
      </c>
      <c r="M146" s="191">
        <f t="shared" si="7"/>
        <v>0.3074749049232155</v>
      </c>
      <c r="N146" s="191">
        <f t="shared" si="7"/>
        <v>0.39825221821686169</v>
      </c>
      <c r="O146" s="191">
        <f t="shared" si="7"/>
        <v>0.40659731810836058</v>
      </c>
      <c r="P146" s="191">
        <f t="shared" si="7"/>
        <v>0.41495128164539347</v>
      </c>
      <c r="Q146" s="191">
        <f t="shared" si="7"/>
        <v>0.4235539613336583</v>
      </c>
      <c r="R146" s="191">
        <f t="shared" si="7"/>
        <v>0.43254083529953841</v>
      </c>
      <c r="S146" s="191">
        <f t="shared" si="7"/>
        <v>0.44202535369963769</v>
      </c>
      <c r="T146" s="191">
        <f t="shared" si="7"/>
        <v>0.4520978016820249</v>
      </c>
      <c r="U146" s="191">
        <f t="shared" si="7"/>
        <v>0.46282485107396232</v>
      </c>
      <c r="V146" s="191">
        <f t="shared" si="7"/>
        <v>0.47424999268050461</v>
      </c>
      <c r="W146" s="191">
        <f t="shared" si="7"/>
        <v>0.48639480639706789</v>
      </c>
      <c r="X146" s="191">
        <f t="shared" si="7"/>
        <v>0.4992608814492116</v>
      </c>
      <c r="Y146" s="191">
        <f t="shared" si="7"/>
        <v>0.51283213393331928</v>
      </c>
      <c r="Z146" s="191">
        <f t="shared" si="7"/>
        <v>0.52707726671837773</v>
      </c>
      <c r="AA146" s="191">
        <f t="shared" si="7"/>
        <v>0.54195215746826786</v>
      </c>
    </row>
    <row r="147" spans="3:27" outlineLevel="1" x14ac:dyDescent="0.45">
      <c r="C147" s="156"/>
      <c r="D147" s="26"/>
      <c r="E147" s="175"/>
      <c r="F147" s="175"/>
      <c r="G147" s="175"/>
      <c r="H147" s="175"/>
      <c r="I147" s="175"/>
      <c r="J147" s="175"/>
      <c r="K147" s="175"/>
      <c r="L147" s="175"/>
      <c r="M147" s="175"/>
      <c r="N147" s="175"/>
      <c r="O147" s="175"/>
      <c r="P147" s="175"/>
      <c r="Q147" s="175"/>
      <c r="R147" s="175"/>
      <c r="S147" s="175"/>
      <c r="T147" s="175"/>
      <c r="U147" s="175"/>
      <c r="V147" s="175"/>
      <c r="W147" s="175"/>
      <c r="X147" s="175"/>
      <c r="Y147" s="175"/>
      <c r="Z147" s="175"/>
      <c r="AA147" s="175"/>
    </row>
    <row r="148" spans="3:27" outlineLevel="1" x14ac:dyDescent="0.45">
      <c r="C148" s="156" t="s">
        <v>184</v>
      </c>
      <c r="D148" s="26" t="s">
        <v>20</v>
      </c>
      <c r="E148" s="175"/>
      <c r="F148" s="175"/>
      <c r="G148" s="175"/>
      <c r="H148" s="175">
        <f t="shared" ref="H148:AA148" si="8">-H138*$K$13</f>
        <v>-180.29169038458559</v>
      </c>
      <c r="I148" s="175">
        <f t="shared" si="8"/>
        <v>-298.2437036227787</v>
      </c>
      <c r="J148" s="175">
        <f t="shared" si="8"/>
        <v>-375.53893521758329</v>
      </c>
      <c r="K148" s="175">
        <f t="shared" si="8"/>
        <v>-454.12603171676983</v>
      </c>
      <c r="L148" s="175">
        <f t="shared" si="8"/>
        <v>-526.23470114575889</v>
      </c>
      <c r="M148" s="175">
        <f t="shared" si="8"/>
        <v>-614.03916324141301</v>
      </c>
      <c r="N148" s="175">
        <f t="shared" si="8"/>
        <v>-696.11096772546193</v>
      </c>
      <c r="O148" s="175">
        <f t="shared" si="8"/>
        <v>-777.98315105567656</v>
      </c>
      <c r="P148" s="175">
        <f t="shared" si="8"/>
        <v>-864.08920022885127</v>
      </c>
      <c r="Q148" s="175">
        <f t="shared" si="8"/>
        <v>-956.75198889241153</v>
      </c>
      <c r="R148" s="175">
        <f t="shared" si="8"/>
        <v>-1056.2886365769464</v>
      </c>
      <c r="S148" s="175">
        <f t="shared" si="8"/>
        <v>-1162.8836865895337</v>
      </c>
      <c r="T148" s="175">
        <f t="shared" si="8"/>
        <v>-1276.5625990010794</v>
      </c>
      <c r="U148" s="175">
        <f t="shared" si="8"/>
        <v>-1397.1702831179402</v>
      </c>
      <c r="V148" s="175">
        <f t="shared" si="8"/>
        <v>-1524.3572842689121</v>
      </c>
      <c r="W148" s="175">
        <f t="shared" si="8"/>
        <v>-1657.5761273430312</v>
      </c>
      <c r="X148" s="175">
        <f t="shared" si="8"/>
        <v>-1796.0899477534006</v>
      </c>
      <c r="Y148" s="175">
        <f t="shared" si="8"/>
        <v>-1938.994899478005</v>
      </c>
      <c r="Z148" s="175">
        <f t="shared" si="8"/>
        <v>-2085.2569397494358</v>
      </c>
      <c r="AA148" s="175">
        <f t="shared" si="8"/>
        <v>-2233.7625041027527</v>
      </c>
    </row>
    <row r="149" spans="3:27" outlineLevel="1" x14ac:dyDescent="0.45">
      <c r="C149" s="156" t="s">
        <v>218</v>
      </c>
      <c r="D149" s="26" t="s">
        <v>20</v>
      </c>
      <c r="E149" s="221">
        <v>0</v>
      </c>
      <c r="F149" s="221">
        <v>0</v>
      </c>
      <c r="G149" s="221">
        <v>-317</v>
      </c>
      <c r="H149" s="175">
        <f>-AVERAGE(G184,H184)*$K$11</f>
        <v>-310.863</v>
      </c>
      <c r="I149" s="175">
        <f t="shared" ref="I149:AA149" si="9">-AVERAGE(H184,I184)*$K$11</f>
        <v>-172.77700000000002</v>
      </c>
      <c r="J149" s="175">
        <f t="shared" si="9"/>
        <v>-51.867000000000004</v>
      </c>
      <c r="K149" s="175">
        <f t="shared" si="9"/>
        <v>0</v>
      </c>
      <c r="L149" s="175">
        <f t="shared" si="9"/>
        <v>0</v>
      </c>
      <c r="M149" s="175">
        <f t="shared" si="9"/>
        <v>0</v>
      </c>
      <c r="N149" s="175">
        <f t="shared" si="9"/>
        <v>0</v>
      </c>
      <c r="O149" s="175">
        <f t="shared" si="9"/>
        <v>0</v>
      </c>
      <c r="P149" s="175">
        <f t="shared" si="9"/>
        <v>0</v>
      </c>
      <c r="Q149" s="175">
        <f t="shared" si="9"/>
        <v>0</v>
      </c>
      <c r="R149" s="175">
        <f t="shared" si="9"/>
        <v>0</v>
      </c>
      <c r="S149" s="175">
        <f t="shared" si="9"/>
        <v>0</v>
      </c>
      <c r="T149" s="175">
        <f t="shared" si="9"/>
        <v>0</v>
      </c>
      <c r="U149" s="175">
        <f t="shared" si="9"/>
        <v>0</v>
      </c>
      <c r="V149" s="175">
        <f t="shared" si="9"/>
        <v>0</v>
      </c>
      <c r="W149" s="175">
        <f t="shared" si="9"/>
        <v>0</v>
      </c>
      <c r="X149" s="175">
        <f t="shared" si="9"/>
        <v>0</v>
      </c>
      <c r="Y149" s="175">
        <f t="shared" si="9"/>
        <v>0</v>
      </c>
      <c r="Z149" s="175">
        <f t="shared" si="9"/>
        <v>0</v>
      </c>
      <c r="AA149" s="175">
        <f t="shared" si="9"/>
        <v>0</v>
      </c>
    </row>
    <row r="150" spans="3:27" outlineLevel="1" x14ac:dyDescent="0.45">
      <c r="C150" s="156"/>
      <c r="D150" s="189"/>
      <c r="E150" s="175"/>
      <c r="F150" s="175"/>
      <c r="G150" s="196"/>
      <c r="H150" s="175"/>
      <c r="I150" s="175"/>
      <c r="J150" s="175"/>
      <c r="K150" s="175"/>
      <c r="L150" s="175"/>
      <c r="M150" s="175"/>
      <c r="N150" s="175"/>
      <c r="O150" s="175"/>
      <c r="P150" s="175"/>
      <c r="Q150" s="175"/>
      <c r="R150" s="175"/>
      <c r="S150" s="175"/>
      <c r="T150" s="175"/>
      <c r="U150" s="175"/>
      <c r="V150" s="175"/>
      <c r="W150" s="175"/>
      <c r="X150" s="175"/>
      <c r="Y150" s="175"/>
      <c r="Z150" s="175"/>
      <c r="AA150" s="175"/>
    </row>
    <row r="151" spans="3:27" outlineLevel="1" x14ac:dyDescent="0.45">
      <c r="C151" s="185" t="s">
        <v>411</v>
      </c>
      <c r="D151" s="26" t="s">
        <v>20</v>
      </c>
      <c r="E151" s="192">
        <f t="shared" ref="E151:AA151" si="10">E145+SUM(E148:E149)</f>
        <v>507</v>
      </c>
      <c r="F151" s="192">
        <f t="shared" si="10"/>
        <v>742</v>
      </c>
      <c r="G151" s="192">
        <f t="shared" si="10"/>
        <v>-2381</v>
      </c>
      <c r="H151" s="192">
        <f t="shared" si="10"/>
        <v>-2006.4201246900602</v>
      </c>
      <c r="I151" s="192">
        <f t="shared" si="10"/>
        <v>-3769.2694153558114</v>
      </c>
      <c r="J151" s="192">
        <f t="shared" si="10"/>
        <v>1983.4003530920932</v>
      </c>
      <c r="K151" s="192">
        <f t="shared" si="10"/>
        <v>10787.324145540082</v>
      </c>
      <c r="L151" s="192">
        <f t="shared" si="10"/>
        <v>22320.664358817332</v>
      </c>
      <c r="M151" s="192">
        <f t="shared" si="10"/>
        <v>37146.287504115448</v>
      </c>
      <c r="N151" s="192">
        <f t="shared" si="10"/>
        <v>54749.436436624826</v>
      </c>
      <c r="O151" s="192">
        <f t="shared" si="10"/>
        <v>62487.189399490257</v>
      </c>
      <c r="P151" s="192">
        <f t="shared" si="10"/>
        <v>70846.89501795212</v>
      </c>
      <c r="Q151" s="192">
        <f t="shared" si="10"/>
        <v>80090.466992955015</v>
      </c>
      <c r="R151" s="192">
        <f t="shared" si="10"/>
        <v>90321.30519990364</v>
      </c>
      <c r="S151" s="192">
        <f t="shared" si="10"/>
        <v>101641.93088866591</v>
      </c>
      <c r="T151" s="192">
        <f t="shared" si="10"/>
        <v>114149.66634457499</v>
      </c>
      <c r="U151" s="192">
        <f t="shared" si="10"/>
        <v>127931.85535868735</v>
      </c>
      <c r="V151" s="192">
        <f t="shared" si="10"/>
        <v>143060.92889713217</v>
      </c>
      <c r="W151" s="192">
        <f t="shared" si="10"/>
        <v>159589.70778214</v>
      </c>
      <c r="X151" s="192">
        <f t="shared" si="10"/>
        <v>177547.40014773281</v>
      </c>
      <c r="Y151" s="192">
        <f t="shared" si="10"/>
        <v>196936.78349754744</v>
      </c>
      <c r="Z151" s="192">
        <f t="shared" si="10"/>
        <v>217733.04870198286</v>
      </c>
      <c r="AA151" s="192">
        <f t="shared" si="10"/>
        <v>239884.71916993867</v>
      </c>
    </row>
    <row r="152" spans="3:27" outlineLevel="1" x14ac:dyDescent="0.45">
      <c r="C152" s="190" t="s">
        <v>90</v>
      </c>
      <c r="D152" s="26" t="s">
        <v>18</v>
      </c>
      <c r="E152" s="191"/>
      <c r="F152" s="191"/>
      <c r="G152" s="191"/>
      <c r="H152" s="191"/>
      <c r="I152" s="191"/>
      <c r="J152" s="191"/>
      <c r="K152" s="191"/>
      <c r="L152" s="191"/>
      <c r="M152" s="191"/>
      <c r="N152" s="191"/>
      <c r="O152" s="191"/>
      <c r="P152" s="191"/>
      <c r="Q152" s="191"/>
      <c r="R152" s="191"/>
      <c r="S152" s="191"/>
      <c r="T152" s="191"/>
      <c r="U152" s="191"/>
      <c r="V152" s="191"/>
      <c r="W152" s="191"/>
      <c r="X152" s="191"/>
      <c r="Y152" s="191"/>
      <c r="Z152" s="191"/>
      <c r="AA152" s="191"/>
    </row>
    <row r="153" spans="3:27" outlineLevel="1" x14ac:dyDescent="0.45">
      <c r="C153" s="156"/>
      <c r="D153" s="189"/>
      <c r="E153" s="175"/>
    </row>
    <row r="154" spans="3:27" outlineLevel="1" x14ac:dyDescent="0.45">
      <c r="C154" s="167" t="s">
        <v>185</v>
      </c>
      <c r="D154" s="26" t="s">
        <v>20</v>
      </c>
      <c r="E154" s="175"/>
      <c r="F154" s="175"/>
      <c r="G154" s="175"/>
      <c r="H154" s="175">
        <f>G157</f>
        <v>2275</v>
      </c>
      <c r="I154" s="175">
        <f t="shared" ref="I154:AA154" si="11">H157</f>
        <v>4281.4201246900602</v>
      </c>
      <c r="J154" s="175">
        <f t="shared" si="11"/>
        <v>8050.6895400458716</v>
      </c>
      <c r="K154" s="175">
        <f t="shared" si="11"/>
        <v>6463.9692575721965</v>
      </c>
      <c r="L154" s="175">
        <f t="shared" si="11"/>
        <v>0</v>
      </c>
      <c r="M154" s="175">
        <f t="shared" si="11"/>
        <v>0</v>
      </c>
      <c r="N154" s="175">
        <f t="shared" si="11"/>
        <v>0</v>
      </c>
      <c r="O154" s="175">
        <f t="shared" si="11"/>
        <v>0</v>
      </c>
      <c r="P154" s="175">
        <f t="shared" si="11"/>
        <v>0</v>
      </c>
      <c r="Q154" s="175">
        <f t="shared" si="11"/>
        <v>0</v>
      </c>
      <c r="R154" s="175">
        <f t="shared" si="11"/>
        <v>0</v>
      </c>
      <c r="S154" s="175">
        <f t="shared" si="11"/>
        <v>0</v>
      </c>
      <c r="T154" s="175">
        <f t="shared" si="11"/>
        <v>0</v>
      </c>
      <c r="U154" s="175">
        <f t="shared" si="11"/>
        <v>0</v>
      </c>
      <c r="V154" s="175">
        <f t="shared" si="11"/>
        <v>0</v>
      </c>
      <c r="W154" s="175">
        <f t="shared" si="11"/>
        <v>0</v>
      </c>
      <c r="X154" s="175">
        <f t="shared" si="11"/>
        <v>0</v>
      </c>
      <c r="Y154" s="175">
        <f t="shared" si="11"/>
        <v>0</v>
      </c>
      <c r="Z154" s="175">
        <f t="shared" si="11"/>
        <v>0</v>
      </c>
      <c r="AA154" s="175">
        <f t="shared" si="11"/>
        <v>0</v>
      </c>
    </row>
    <row r="155" spans="3:27" outlineLevel="1" x14ac:dyDescent="0.45">
      <c r="C155" s="156" t="s">
        <v>186</v>
      </c>
      <c r="D155" s="26" t="s">
        <v>20</v>
      </c>
      <c r="E155" s="175"/>
      <c r="F155" s="175"/>
      <c r="G155" s="175"/>
      <c r="H155" s="175">
        <f>MAX(0,-H151)</f>
        <v>2006.4201246900602</v>
      </c>
      <c r="I155" s="175">
        <f t="shared" ref="I155:AA155" si="12">MAX(0,-I151)</f>
        <v>3769.2694153558114</v>
      </c>
      <c r="J155" s="175">
        <f t="shared" si="12"/>
        <v>0</v>
      </c>
      <c r="K155" s="175">
        <f t="shared" si="12"/>
        <v>0</v>
      </c>
      <c r="L155" s="175">
        <f t="shared" si="12"/>
        <v>0</v>
      </c>
      <c r="M155" s="175">
        <f t="shared" si="12"/>
        <v>0</v>
      </c>
      <c r="N155" s="175">
        <f t="shared" si="12"/>
        <v>0</v>
      </c>
      <c r="O155" s="175">
        <f t="shared" si="12"/>
        <v>0</v>
      </c>
      <c r="P155" s="175">
        <f t="shared" si="12"/>
        <v>0</v>
      </c>
      <c r="Q155" s="175">
        <f t="shared" si="12"/>
        <v>0</v>
      </c>
      <c r="R155" s="175">
        <f t="shared" si="12"/>
        <v>0</v>
      </c>
      <c r="S155" s="175">
        <f t="shared" si="12"/>
        <v>0</v>
      </c>
      <c r="T155" s="175">
        <f t="shared" si="12"/>
        <v>0</v>
      </c>
      <c r="U155" s="175">
        <f t="shared" si="12"/>
        <v>0</v>
      </c>
      <c r="V155" s="175">
        <f t="shared" si="12"/>
        <v>0</v>
      </c>
      <c r="W155" s="175">
        <f t="shared" si="12"/>
        <v>0</v>
      </c>
      <c r="X155" s="175">
        <f t="shared" si="12"/>
        <v>0</v>
      </c>
      <c r="Y155" s="175">
        <f t="shared" si="12"/>
        <v>0</v>
      </c>
      <c r="Z155" s="175">
        <f t="shared" si="12"/>
        <v>0</v>
      </c>
      <c r="AA155" s="175">
        <f t="shared" si="12"/>
        <v>0</v>
      </c>
    </row>
    <row r="156" spans="3:27" outlineLevel="1" x14ac:dyDescent="0.45">
      <c r="C156" s="176" t="s">
        <v>187</v>
      </c>
      <c r="D156" s="181" t="s">
        <v>20</v>
      </c>
      <c r="E156" s="193"/>
      <c r="F156" s="193"/>
      <c r="G156" s="193"/>
      <c r="H156" s="193">
        <f t="shared" ref="H156:AA156" si="13">-MIN(H154+H155,MAX(H151,0)*Allowed_NOL_Usage)</f>
        <v>0</v>
      </c>
      <c r="I156" s="193">
        <f t="shared" si="13"/>
        <v>0</v>
      </c>
      <c r="J156" s="193">
        <f t="shared" si="13"/>
        <v>-1586.7202824736746</v>
      </c>
      <c r="K156" s="193">
        <f t="shared" si="13"/>
        <v>-6463.9692575721965</v>
      </c>
      <c r="L156" s="193">
        <f t="shared" si="13"/>
        <v>0</v>
      </c>
      <c r="M156" s="193">
        <f t="shared" si="13"/>
        <v>0</v>
      </c>
      <c r="N156" s="193">
        <f t="shared" si="13"/>
        <v>0</v>
      </c>
      <c r="O156" s="193">
        <f t="shared" si="13"/>
        <v>0</v>
      </c>
      <c r="P156" s="193">
        <f t="shared" si="13"/>
        <v>0</v>
      </c>
      <c r="Q156" s="193">
        <f t="shared" si="13"/>
        <v>0</v>
      </c>
      <c r="R156" s="193">
        <f t="shared" si="13"/>
        <v>0</v>
      </c>
      <c r="S156" s="193">
        <f t="shared" si="13"/>
        <v>0</v>
      </c>
      <c r="T156" s="193">
        <f t="shared" si="13"/>
        <v>0</v>
      </c>
      <c r="U156" s="193">
        <f t="shared" si="13"/>
        <v>0</v>
      </c>
      <c r="V156" s="193">
        <f t="shared" si="13"/>
        <v>0</v>
      </c>
      <c r="W156" s="193">
        <f t="shared" si="13"/>
        <v>0</v>
      </c>
      <c r="X156" s="193">
        <f t="shared" si="13"/>
        <v>0</v>
      </c>
      <c r="Y156" s="193">
        <f t="shared" si="13"/>
        <v>0</v>
      </c>
      <c r="Z156" s="193">
        <f t="shared" si="13"/>
        <v>0</v>
      </c>
      <c r="AA156" s="193">
        <f t="shared" si="13"/>
        <v>0</v>
      </c>
    </row>
    <row r="157" spans="3:27" s="157" customFormat="1" outlineLevel="1" x14ac:dyDescent="0.45">
      <c r="C157" s="185" t="s">
        <v>188</v>
      </c>
      <c r="D157" s="26" t="s">
        <v>20</v>
      </c>
      <c r="E157" s="192"/>
      <c r="F157" s="192"/>
      <c r="G157" s="192">
        <f>$K$7</f>
        <v>2275</v>
      </c>
      <c r="H157" s="192">
        <f>SUM(H154:H156)</f>
        <v>4281.4201246900602</v>
      </c>
      <c r="I157" s="192">
        <f t="shared" ref="I157:AA157" si="14">SUM(I154:I156)</f>
        <v>8050.6895400458716</v>
      </c>
      <c r="J157" s="192">
        <f t="shared" si="14"/>
        <v>6463.9692575721965</v>
      </c>
      <c r="K157" s="192">
        <f t="shared" si="14"/>
        <v>0</v>
      </c>
      <c r="L157" s="192">
        <f t="shared" si="14"/>
        <v>0</v>
      </c>
      <c r="M157" s="192">
        <f t="shared" si="14"/>
        <v>0</v>
      </c>
      <c r="N157" s="192">
        <f t="shared" si="14"/>
        <v>0</v>
      </c>
      <c r="O157" s="192">
        <f t="shared" si="14"/>
        <v>0</v>
      </c>
      <c r="P157" s="192">
        <f t="shared" si="14"/>
        <v>0</v>
      </c>
      <c r="Q157" s="192">
        <f t="shared" si="14"/>
        <v>0</v>
      </c>
      <c r="R157" s="192">
        <f t="shared" si="14"/>
        <v>0</v>
      </c>
      <c r="S157" s="192">
        <f t="shared" si="14"/>
        <v>0</v>
      </c>
      <c r="T157" s="192">
        <f t="shared" si="14"/>
        <v>0</v>
      </c>
      <c r="U157" s="192">
        <f t="shared" si="14"/>
        <v>0</v>
      </c>
      <c r="V157" s="192">
        <f t="shared" si="14"/>
        <v>0</v>
      </c>
      <c r="W157" s="192">
        <f t="shared" si="14"/>
        <v>0</v>
      </c>
      <c r="X157" s="192">
        <f t="shared" si="14"/>
        <v>0</v>
      </c>
      <c r="Y157" s="192">
        <f t="shared" si="14"/>
        <v>0</v>
      </c>
      <c r="Z157" s="192">
        <f t="shared" si="14"/>
        <v>0</v>
      </c>
      <c r="AA157" s="192">
        <f t="shared" si="14"/>
        <v>0</v>
      </c>
    </row>
    <row r="158" spans="3:27" outlineLevel="1" x14ac:dyDescent="0.45">
      <c r="C158" s="156"/>
      <c r="D158" s="189"/>
      <c r="E158" s="175"/>
    </row>
    <row r="159" spans="3:27" outlineLevel="1" x14ac:dyDescent="0.45">
      <c r="C159" s="185" t="s">
        <v>189</v>
      </c>
      <c r="D159" s="26" t="s">
        <v>20</v>
      </c>
      <c r="E159" s="194">
        <f>E151+E156</f>
        <v>507</v>
      </c>
      <c r="F159" s="194">
        <f t="shared" ref="F159:AA159" si="15">F151+F156</f>
        <v>742</v>
      </c>
      <c r="G159" s="194">
        <f t="shared" si="15"/>
        <v>-2381</v>
      </c>
      <c r="H159" s="194">
        <f t="shared" si="15"/>
        <v>-2006.4201246900602</v>
      </c>
      <c r="I159" s="194">
        <f t="shared" si="15"/>
        <v>-3769.2694153558114</v>
      </c>
      <c r="J159" s="194">
        <f t="shared" si="15"/>
        <v>396.68007061841854</v>
      </c>
      <c r="K159" s="194">
        <f t="shared" si="15"/>
        <v>4323.3548879678856</v>
      </c>
      <c r="L159" s="194">
        <f t="shared" si="15"/>
        <v>22320.664358817332</v>
      </c>
      <c r="M159" s="194">
        <f t="shared" si="15"/>
        <v>37146.287504115448</v>
      </c>
      <c r="N159" s="194">
        <f t="shared" si="15"/>
        <v>54749.436436624826</v>
      </c>
      <c r="O159" s="194">
        <f t="shared" si="15"/>
        <v>62487.189399490257</v>
      </c>
      <c r="P159" s="194">
        <f t="shared" si="15"/>
        <v>70846.89501795212</v>
      </c>
      <c r="Q159" s="194">
        <f t="shared" si="15"/>
        <v>80090.466992955015</v>
      </c>
      <c r="R159" s="194">
        <f t="shared" si="15"/>
        <v>90321.30519990364</v>
      </c>
      <c r="S159" s="194">
        <f t="shared" si="15"/>
        <v>101641.93088866591</v>
      </c>
      <c r="T159" s="194">
        <f t="shared" si="15"/>
        <v>114149.66634457499</v>
      </c>
      <c r="U159" s="194">
        <f t="shared" si="15"/>
        <v>127931.85535868735</v>
      </c>
      <c r="V159" s="194">
        <f t="shared" si="15"/>
        <v>143060.92889713217</v>
      </c>
      <c r="W159" s="194">
        <f t="shared" si="15"/>
        <v>159589.70778214</v>
      </c>
      <c r="X159" s="194">
        <f t="shared" si="15"/>
        <v>177547.40014773281</v>
      </c>
      <c r="Y159" s="194">
        <f t="shared" si="15"/>
        <v>196936.78349754744</v>
      </c>
      <c r="Z159" s="194">
        <f t="shared" si="15"/>
        <v>217733.04870198286</v>
      </c>
      <c r="AA159" s="194">
        <f t="shared" si="15"/>
        <v>239884.71916993867</v>
      </c>
    </row>
    <row r="160" spans="3:27" outlineLevel="1" x14ac:dyDescent="0.45">
      <c r="C160" s="156"/>
      <c r="D160" s="189"/>
      <c r="E160" s="175"/>
      <c r="G160" s="175"/>
    </row>
    <row r="161" spans="3:27" outlineLevel="1" x14ac:dyDescent="0.45">
      <c r="C161" s="156" t="s">
        <v>21</v>
      </c>
      <c r="D161" s="26" t="s">
        <v>20</v>
      </c>
      <c r="E161" s="175">
        <f t="shared" ref="E161:AA161" si="16">-MAX(E159,0)*Tax_Rate</f>
        <v>-126.75</v>
      </c>
      <c r="F161" s="175">
        <f t="shared" si="16"/>
        <v>-185.5</v>
      </c>
      <c r="G161" s="175">
        <f t="shared" si="16"/>
        <v>0</v>
      </c>
      <c r="H161" s="175">
        <f t="shared" si="16"/>
        <v>0</v>
      </c>
      <c r="I161" s="175">
        <f t="shared" si="16"/>
        <v>0</v>
      </c>
      <c r="J161" s="175">
        <f t="shared" si="16"/>
        <v>-99.170017654604635</v>
      </c>
      <c r="K161" s="175">
        <f t="shared" si="16"/>
        <v>-1080.8387219919714</v>
      </c>
      <c r="L161" s="175">
        <f t="shared" si="16"/>
        <v>-5580.166089704333</v>
      </c>
      <c r="M161" s="175">
        <f t="shared" si="16"/>
        <v>-9286.5718760288619</v>
      </c>
      <c r="N161" s="175">
        <f t="shared" si="16"/>
        <v>-13687.359109156207</v>
      </c>
      <c r="O161" s="175">
        <f t="shared" si="16"/>
        <v>-15621.797349872564</v>
      </c>
      <c r="P161" s="175">
        <f t="shared" si="16"/>
        <v>-17711.72375448803</v>
      </c>
      <c r="Q161" s="175">
        <f t="shared" si="16"/>
        <v>-20022.616748238754</v>
      </c>
      <c r="R161" s="175">
        <f t="shared" si="16"/>
        <v>-22580.32629997591</v>
      </c>
      <c r="S161" s="175">
        <f t="shared" si="16"/>
        <v>-25410.482722166478</v>
      </c>
      <c r="T161" s="175">
        <f t="shared" si="16"/>
        <v>-28537.416586143747</v>
      </c>
      <c r="U161" s="175">
        <f t="shared" si="16"/>
        <v>-31982.963839671836</v>
      </c>
      <c r="V161" s="175">
        <f t="shared" si="16"/>
        <v>-35765.232224283041</v>
      </c>
      <c r="W161" s="175">
        <f t="shared" si="16"/>
        <v>-39897.426945535</v>
      </c>
      <c r="X161" s="175">
        <f t="shared" si="16"/>
        <v>-44386.850036933203</v>
      </c>
      <c r="Y161" s="175">
        <f t="shared" si="16"/>
        <v>-49234.19587438686</v>
      </c>
      <c r="Z161" s="175">
        <f t="shared" si="16"/>
        <v>-54433.262175495714</v>
      </c>
      <c r="AA161" s="175">
        <f t="shared" si="16"/>
        <v>-59971.179792484669</v>
      </c>
    </row>
    <row r="162" spans="3:27" outlineLevel="1" x14ac:dyDescent="0.45">
      <c r="C162" s="156"/>
      <c r="D162" s="189"/>
      <c r="E162" s="175"/>
      <c r="F162" s="175"/>
      <c r="G162" s="175"/>
      <c r="H162" s="175"/>
      <c r="I162" s="175"/>
      <c r="J162" s="175"/>
      <c r="K162" s="175"/>
      <c r="L162" s="175"/>
      <c r="M162" s="175"/>
      <c r="N162" s="175"/>
      <c r="O162" s="175"/>
      <c r="P162" s="175"/>
      <c r="Q162" s="175"/>
      <c r="R162" s="175"/>
      <c r="S162" s="175"/>
      <c r="T162" s="175"/>
      <c r="U162" s="175"/>
      <c r="V162" s="175"/>
      <c r="W162" s="175"/>
      <c r="X162" s="175"/>
      <c r="Y162" s="175"/>
      <c r="Z162" s="175"/>
      <c r="AA162" s="175"/>
    </row>
    <row r="163" spans="3:27" outlineLevel="1" x14ac:dyDescent="0.45">
      <c r="C163" s="185" t="s">
        <v>190</v>
      </c>
      <c r="D163" s="26" t="s">
        <v>20</v>
      </c>
      <c r="E163" s="192">
        <f t="shared" ref="E163:AA163" si="17">E159+E161</f>
        <v>380.25</v>
      </c>
      <c r="F163" s="192">
        <f t="shared" si="17"/>
        <v>556.5</v>
      </c>
      <c r="G163" s="192">
        <f t="shared" si="17"/>
        <v>-2381</v>
      </c>
      <c r="H163" s="192">
        <f t="shared" si="17"/>
        <v>-2006.4201246900602</v>
      </c>
      <c r="I163" s="192">
        <f t="shared" si="17"/>
        <v>-3769.2694153558114</v>
      </c>
      <c r="J163" s="192">
        <f t="shared" si="17"/>
        <v>297.51005296381391</v>
      </c>
      <c r="K163" s="192">
        <f t="shared" si="17"/>
        <v>3242.5161659759142</v>
      </c>
      <c r="L163" s="192">
        <f t="shared" si="17"/>
        <v>16740.498269112999</v>
      </c>
      <c r="M163" s="192">
        <f t="shared" si="17"/>
        <v>27859.715628086586</v>
      </c>
      <c r="N163" s="192">
        <f t="shared" si="17"/>
        <v>41062.077327468622</v>
      </c>
      <c r="O163" s="192">
        <f t="shared" si="17"/>
        <v>46865.392049617694</v>
      </c>
      <c r="P163" s="192">
        <f t="shared" si="17"/>
        <v>53135.171263464086</v>
      </c>
      <c r="Q163" s="192">
        <f t="shared" si="17"/>
        <v>60067.850244716261</v>
      </c>
      <c r="R163" s="192">
        <f t="shared" si="17"/>
        <v>67740.978899927723</v>
      </c>
      <c r="S163" s="192">
        <f t="shared" si="17"/>
        <v>76231.448166499438</v>
      </c>
      <c r="T163" s="192">
        <f t="shared" si="17"/>
        <v>85612.249758431237</v>
      </c>
      <c r="U163" s="192">
        <f t="shared" si="17"/>
        <v>95948.891519015509</v>
      </c>
      <c r="V163" s="192">
        <f t="shared" si="17"/>
        <v>107295.69667284912</v>
      </c>
      <c r="W163" s="192">
        <f t="shared" si="17"/>
        <v>119692.280836605</v>
      </c>
      <c r="X163" s="192">
        <f t="shared" si="17"/>
        <v>133160.55011079961</v>
      </c>
      <c r="Y163" s="192">
        <f t="shared" si="17"/>
        <v>147702.58762316057</v>
      </c>
      <c r="Z163" s="192">
        <f t="shared" si="17"/>
        <v>163299.78652648715</v>
      </c>
      <c r="AA163" s="192">
        <f t="shared" si="17"/>
        <v>179913.539377454</v>
      </c>
    </row>
    <row r="164" spans="3:27" outlineLevel="1" x14ac:dyDescent="0.45">
      <c r="C164" s="156"/>
      <c r="D164" s="189"/>
      <c r="E164" s="175"/>
    </row>
    <row r="165" spans="3:27" outlineLevel="1" x14ac:dyDescent="0.45">
      <c r="C165" s="156" t="s">
        <v>26</v>
      </c>
      <c r="D165" s="26" t="s">
        <v>20</v>
      </c>
      <c r="E165" s="175">
        <f>SPC!E69+STLK!E87+AI!E90</f>
        <v>2635</v>
      </c>
      <c r="F165" s="175">
        <f>SPC!F69+STLK!F87+AI!F90</f>
        <v>3824</v>
      </c>
      <c r="G165" s="175">
        <f>SPC!G69+STLK!G87+AI!G90</f>
        <v>6701</v>
      </c>
      <c r="H165" s="175">
        <f>SPC!H69+STLK!H87+AI!H90</f>
        <v>12283.374404674651</v>
      </c>
      <c r="I165" s="175">
        <f>SPC!I69+STLK!I87+AI!I90</f>
        <v>15414.033320732658</v>
      </c>
      <c r="J165" s="175">
        <f>SPC!J69+STLK!J87+AI!J90</f>
        <v>19464.586677747386</v>
      </c>
      <c r="K165" s="175">
        <f>SPC!K69+STLK!K87+AI!K90</f>
        <v>22963.225087539518</v>
      </c>
      <c r="L165" s="175">
        <f>SPC!L69+STLK!L87+AI!L90</f>
        <v>26349.085704145898</v>
      </c>
      <c r="M165" s="175">
        <f>SPC!M69+STLK!M87+AI!M90</f>
        <v>28674.076885078688</v>
      </c>
      <c r="N165" s="175">
        <f>SPC!N69+STLK!N87+AI!N90</f>
        <v>29374.435913833284</v>
      </c>
      <c r="O165" s="175">
        <f>SPC!O69+STLK!O87+AI!O90</f>
        <v>29757.493357055566</v>
      </c>
      <c r="P165" s="175">
        <f>SPC!P69+STLK!P87+AI!P90</f>
        <v>30208.073601506869</v>
      </c>
      <c r="Q165" s="175">
        <f>SPC!Q69+STLK!Q87+AI!Q90</f>
        <v>30606.355783945277</v>
      </c>
      <c r="R165" s="175">
        <f>SPC!R69+STLK!R87+AI!R90</f>
        <v>30951.148584421997</v>
      </c>
      <c r="S165" s="175">
        <f>SPC!S69+STLK!S87+AI!S90</f>
        <v>31241.184784317378</v>
      </c>
      <c r="T165" s="175">
        <f>SPC!T69+STLK!T87+AI!T90</f>
        <v>31475.20509515865</v>
      </c>
      <c r="U165" s="175">
        <f>SPC!U69+STLK!U87+AI!U90</f>
        <v>31652.0487789127</v>
      </c>
      <c r="V165" s="175">
        <f>SPC!V69+STLK!V87+AI!V90</f>
        <v>31770.747417867402</v>
      </c>
      <c r="W165" s="175">
        <f>SPC!W69+STLK!W87+AI!W90</f>
        <v>31830.617725838245</v>
      </c>
      <c r="X165" s="175">
        <f>SPC!X69+STLK!X87+AI!X90</f>
        <v>31831.349037183725</v>
      </c>
      <c r="Y165" s="175">
        <f>SPC!Y69+STLK!Y87+AI!Y90</f>
        <v>31773.081100046249</v>
      </c>
      <c r="Z165" s="175">
        <f>SPC!Z69+STLK!Z87+AI!Z90</f>
        <v>31656.468053741461</v>
      </c>
      <c r="AA165" s="175">
        <f>SPC!AA69+STLK!AA87+AI!AA90</f>
        <v>31482.724987239482</v>
      </c>
    </row>
    <row r="166" spans="3:27" outlineLevel="1" x14ac:dyDescent="0.45">
      <c r="C166" s="167"/>
      <c r="D166" s="189"/>
      <c r="E166" s="175"/>
      <c r="F166" s="175"/>
      <c r="G166" s="175"/>
      <c r="H166" s="175"/>
      <c r="I166" s="175"/>
      <c r="J166" s="175"/>
      <c r="K166" s="175"/>
      <c r="L166" s="175"/>
      <c r="M166" s="175"/>
      <c r="N166" s="175"/>
      <c r="O166" s="175"/>
      <c r="P166" s="175"/>
      <c r="Q166" s="175"/>
      <c r="R166" s="175"/>
      <c r="S166" s="175"/>
      <c r="T166" s="175"/>
      <c r="U166" s="175"/>
      <c r="V166" s="175"/>
      <c r="W166" s="175"/>
      <c r="X166" s="175"/>
      <c r="Y166" s="175"/>
      <c r="Z166" s="175"/>
      <c r="AA166" s="175"/>
    </row>
    <row r="167" spans="3:27" outlineLevel="1" x14ac:dyDescent="0.45">
      <c r="C167" s="156" t="s">
        <v>219</v>
      </c>
      <c r="D167" s="26" t="s">
        <v>20</v>
      </c>
      <c r="E167" s="221">
        <v>0</v>
      </c>
      <c r="F167" s="221">
        <v>0</v>
      </c>
      <c r="G167" s="221">
        <v>-295</v>
      </c>
      <c r="H167" s="337">
        <v>-611</v>
      </c>
      <c r="I167" s="337">
        <v>-611</v>
      </c>
      <c r="J167" s="337">
        <v>-459</v>
      </c>
      <c r="K167" s="337">
        <v>0</v>
      </c>
      <c r="L167" s="180">
        <f>K167</f>
        <v>0</v>
      </c>
      <c r="M167" s="180">
        <f t="shared" ref="M167:AA167" si="18">L167</f>
        <v>0</v>
      </c>
      <c r="N167" s="180">
        <f t="shared" si="18"/>
        <v>0</v>
      </c>
      <c r="O167" s="180">
        <f t="shared" si="18"/>
        <v>0</v>
      </c>
      <c r="P167" s="180">
        <f t="shared" si="18"/>
        <v>0</v>
      </c>
      <c r="Q167" s="180">
        <f t="shared" si="18"/>
        <v>0</v>
      </c>
      <c r="R167" s="180">
        <f t="shared" si="18"/>
        <v>0</v>
      </c>
      <c r="S167" s="180">
        <f t="shared" si="18"/>
        <v>0</v>
      </c>
      <c r="T167" s="180">
        <f t="shared" si="18"/>
        <v>0</v>
      </c>
      <c r="U167" s="180">
        <f t="shared" si="18"/>
        <v>0</v>
      </c>
      <c r="V167" s="180">
        <f t="shared" si="18"/>
        <v>0</v>
      </c>
      <c r="W167" s="180">
        <f t="shared" si="18"/>
        <v>0</v>
      </c>
      <c r="X167" s="180">
        <f t="shared" si="18"/>
        <v>0</v>
      </c>
      <c r="Y167" s="180">
        <f t="shared" si="18"/>
        <v>0</v>
      </c>
      <c r="Z167" s="180">
        <f t="shared" si="18"/>
        <v>0</v>
      </c>
      <c r="AA167" s="180">
        <f t="shared" si="18"/>
        <v>0</v>
      </c>
    </row>
    <row r="168" spans="3:27" outlineLevel="1" x14ac:dyDescent="0.45">
      <c r="C168" s="167"/>
      <c r="D168" s="189"/>
      <c r="E168" s="175"/>
      <c r="F168" s="175"/>
      <c r="G168" s="175"/>
      <c r="H168" s="175"/>
      <c r="I168" s="175"/>
      <c r="J168" s="175"/>
      <c r="K168" s="175"/>
      <c r="L168" s="175"/>
      <c r="M168" s="175"/>
      <c r="N168" s="175"/>
      <c r="O168" s="175"/>
      <c r="P168" s="175"/>
      <c r="Q168" s="175"/>
      <c r="R168" s="175"/>
      <c r="S168" s="175"/>
      <c r="T168" s="175"/>
      <c r="U168" s="175"/>
      <c r="V168" s="175"/>
      <c r="W168" s="175"/>
      <c r="X168" s="175"/>
      <c r="Y168" s="175"/>
      <c r="Z168" s="175"/>
      <c r="AA168" s="175"/>
    </row>
    <row r="169" spans="3:27" outlineLevel="1" x14ac:dyDescent="0.45">
      <c r="C169" s="156" t="s">
        <v>27</v>
      </c>
      <c r="D169" s="26" t="s">
        <v>20</v>
      </c>
      <c r="E169" s="101">
        <f>(345-72+41+220+1695-15-208)</f>
        <v>2006</v>
      </c>
      <c r="F169" s="101">
        <f>(-347-309-328+472+1876-37+346)</f>
        <v>1673</v>
      </c>
      <c r="G169" s="101">
        <f>(-543-413-673+709+1929-56+1136)</f>
        <v>2089</v>
      </c>
      <c r="H169" s="175">
        <f>SPC!H72+STLK!H90+AI!H93</f>
        <v>1047.5492190318002</v>
      </c>
      <c r="I169" s="175">
        <f>SPC!I72+STLK!I90+AI!I93</f>
        <v>-435.30100208613158</v>
      </c>
      <c r="J169" s="175">
        <f>SPC!J72+STLK!J90+AI!J93</f>
        <v>502.02041236479721</v>
      </c>
      <c r="K169" s="175">
        <f>SPC!K72+STLK!K90+AI!K93</f>
        <v>201.77906360167964</v>
      </c>
      <c r="L169" s="175">
        <f>SPC!L72+STLK!L90+AI!L93</f>
        <v>330.8394736646195</v>
      </c>
      <c r="M169" s="175">
        <f>SPC!M72+STLK!M90+AI!M93</f>
        <v>267.39761202292368</v>
      </c>
      <c r="N169" s="175">
        <f>SPC!N72+STLK!N90+AI!N93</f>
        <v>441.59234447115892</v>
      </c>
      <c r="O169" s="175">
        <f>SPC!O72+STLK!O90+AI!O93</f>
        <v>535.53805071741817</v>
      </c>
      <c r="P169" s="175">
        <f>SPC!P72+STLK!P90+AI!P93</f>
        <v>594.77436800306805</v>
      </c>
      <c r="Q169" s="175">
        <f>SPC!Q72+STLK!Q90+AI!Q93</f>
        <v>637.87669997342016</v>
      </c>
      <c r="R169" s="175">
        <f>SPC!R72+STLK!R90+AI!R93</f>
        <v>681.45920643898569</v>
      </c>
      <c r="S169" s="175">
        <f>SPC!S72+STLK!S90+AI!S93</f>
        <v>722.49525849377392</v>
      </c>
      <c r="T169" s="175">
        <f>SPC!T72+STLK!T90+AI!T93</f>
        <v>757.38383792784532</v>
      </c>
      <c r="U169" s="175">
        <f>SPC!U72+STLK!U90+AI!U93</f>
        <v>782.04336421161065</v>
      </c>
      <c r="V169" s="175">
        <f>SPC!V72+STLK!V90+AI!V93</f>
        <v>792.05757066575325</v>
      </c>
      <c r="W169" s="175">
        <f>SPC!W72+STLK!W90+AI!W93</f>
        <v>782.87133308139755</v>
      </c>
      <c r="X169" s="175">
        <f>SPC!X72+STLK!X90+AI!X93</f>
        <v>750.02917522106429</v>
      </c>
      <c r="Y169" s="175">
        <f>SPC!Y72+STLK!Y90+AI!Y93</f>
        <v>689.44379024933903</v>
      </c>
      <c r="Z169" s="175">
        <f>SPC!Z72+STLK!Z90+AI!Z93</f>
        <v>597.67692651427501</v>
      </c>
      <c r="AA169" s="175">
        <f>SPC!AA72+STLK!AA90+AI!AA93</f>
        <v>472.21105111205691</v>
      </c>
    </row>
    <row r="170" spans="3:27" outlineLevel="1" x14ac:dyDescent="0.45">
      <c r="C170" s="167"/>
      <c r="D170" s="189"/>
      <c r="E170" s="175"/>
      <c r="F170" s="175"/>
      <c r="G170" s="175"/>
      <c r="H170" s="175"/>
      <c r="I170" s="175"/>
      <c r="J170" s="175"/>
      <c r="K170" s="175"/>
      <c r="L170" s="175"/>
      <c r="M170" s="175"/>
      <c r="N170" s="175"/>
      <c r="O170" s="175"/>
      <c r="P170" s="175"/>
      <c r="Q170" s="175"/>
      <c r="R170" s="175"/>
      <c r="S170" s="175"/>
      <c r="T170" s="175"/>
      <c r="U170" s="175"/>
      <c r="V170" s="175"/>
      <c r="W170" s="175"/>
      <c r="X170" s="175"/>
      <c r="Y170" s="175"/>
      <c r="Z170" s="175"/>
      <c r="AA170" s="175"/>
    </row>
    <row r="171" spans="3:27" outlineLevel="1" x14ac:dyDescent="0.45">
      <c r="C171" s="156" t="s">
        <v>22</v>
      </c>
      <c r="D171" s="26" t="s">
        <v>20</v>
      </c>
      <c r="E171" s="175">
        <f>SPC!E75+STLK!E93+AI!E96</f>
        <v>-4415</v>
      </c>
      <c r="F171" s="175">
        <f>SPC!F75+STLK!F93+AI!F96</f>
        <v>-11163</v>
      </c>
      <c r="G171" s="175">
        <f>SPC!G75+STLK!G93+AI!G96</f>
        <v>-20737</v>
      </c>
      <c r="H171" s="175">
        <f>SPC!H75+STLK!H93+AI!H96</f>
        <v>-38520.272576288553</v>
      </c>
      <c r="I171" s="175">
        <f>SPC!I75+STLK!I93+AI!I96</f>
        <v>-44549.731728469691</v>
      </c>
      <c r="J171" s="175">
        <f>SPC!J75+STLK!J93+AI!J96</f>
        <v>-49447.587962766578</v>
      </c>
      <c r="K171" s="175">
        <f>SPC!K75+STLK!K93+AI!K96</f>
        <v>-53843.181000223107</v>
      </c>
      <c r="L171" s="175">
        <f>SPC!L75+STLK!L93+AI!L96</f>
        <v>-53865.513670220098</v>
      </c>
      <c r="M171" s="175">
        <f>SPC!M75+STLK!M93+AI!M96</f>
        <v>-51521.7075671887</v>
      </c>
      <c r="N171" s="175">
        <f>SPC!N75+STLK!N93+AI!N96</f>
        <v>-48873.836716744467</v>
      </c>
      <c r="O171" s="175">
        <f>SPC!O75+STLK!O93+AI!O96</f>
        <v>-47941.348704094329</v>
      </c>
      <c r="P171" s="175">
        <f>SPC!P75+STLK!P93+AI!P96</f>
        <v>-48827.38274205981</v>
      </c>
      <c r="Q171" s="175">
        <f>SPC!Q75+STLK!Q93+AI!Q96</f>
        <v>-49623.868862867348</v>
      </c>
      <c r="R171" s="175">
        <f>SPC!R75+STLK!R93+AI!R96</f>
        <v>-50327.20003968769</v>
      </c>
      <c r="S171" s="175">
        <f>SPC!S75+STLK!S93+AI!S96</f>
        <v>-50933.613196384649</v>
      </c>
      <c r="T171" s="175">
        <f>SPC!T75+STLK!T93+AI!T96</f>
        <v>-51439.371682017227</v>
      </c>
      <c r="U171" s="175">
        <f>SPC!U75+STLK!U93+AI!U96</f>
        <v>-51840.962543347036</v>
      </c>
      <c r="V171" s="175">
        <f>SPC!V75+STLK!V93+AI!V96</f>
        <v>-52135.300687958501</v>
      </c>
      <c r="W171" s="175">
        <f>SPC!W75+STLK!W93+AI!W96</f>
        <v>-52319.931020374956</v>
      </c>
      <c r="X171" s="175">
        <f>SPC!X75+STLK!X93+AI!X96</f>
        <v>-52393.219080928342</v>
      </c>
      <c r="Y171" s="175">
        <f>SPC!Y75+STLK!Y93+AI!Y96</f>
        <v>-52354.520695925828</v>
      </c>
      <c r="Z171" s="175">
        <f>SPC!Z75+STLK!Z93+AI!Z96</f>
        <v>-52204.321697694562</v>
      </c>
      <c r="AA171" s="175">
        <f>SPC!AA75+STLK!AA93+AI!AA96</f>
        <v>-51944.339894240198</v>
      </c>
    </row>
    <row r="172" spans="3:27" outlineLevel="1" x14ac:dyDescent="0.45">
      <c r="C172" s="195"/>
      <c r="D172" s="189"/>
      <c r="E172" s="175"/>
    </row>
    <row r="173" spans="3:27" outlineLevel="1" x14ac:dyDescent="0.45">
      <c r="C173" s="185" t="s">
        <v>191</v>
      </c>
      <c r="D173" s="26" t="s">
        <v>20</v>
      </c>
      <c r="E173" s="192">
        <f t="shared" ref="E173:AA173" si="19">E163+E165+E167+E169+E171</f>
        <v>606.25</v>
      </c>
      <c r="F173" s="192">
        <f t="shared" si="19"/>
        <v>-5109.5</v>
      </c>
      <c r="G173" s="192">
        <f t="shared" si="19"/>
        <v>-14623</v>
      </c>
      <c r="H173" s="192">
        <f t="shared" si="19"/>
        <v>-27806.769077272162</v>
      </c>
      <c r="I173" s="192">
        <f t="shared" si="19"/>
        <v>-33951.268825178973</v>
      </c>
      <c r="J173" s="192">
        <f t="shared" si="19"/>
        <v>-29642.470819690581</v>
      </c>
      <c r="K173" s="192">
        <f t="shared" si="19"/>
        <v>-27435.660683105994</v>
      </c>
      <c r="L173" s="192">
        <f t="shared" si="19"/>
        <v>-10445.090223296582</v>
      </c>
      <c r="M173" s="192">
        <f t="shared" si="19"/>
        <v>5279.4825579995013</v>
      </c>
      <c r="N173" s="192">
        <f t="shared" si="19"/>
        <v>22004.268869028601</v>
      </c>
      <c r="O173" s="192">
        <f t="shared" si="19"/>
        <v>29217.074753296343</v>
      </c>
      <c r="P173" s="192">
        <f t="shared" si="19"/>
        <v>35110.636490914214</v>
      </c>
      <c r="Q173" s="192">
        <f t="shared" si="19"/>
        <v>41688.213865767619</v>
      </c>
      <c r="R173" s="192">
        <f t="shared" si="19"/>
        <v>49046.38665110102</v>
      </c>
      <c r="S173" s="192">
        <f t="shared" si="19"/>
        <v>57261.515012925935</v>
      </c>
      <c r="T173" s="192">
        <f t="shared" si="19"/>
        <v>66405.467009500499</v>
      </c>
      <c r="U173" s="192">
        <f t="shared" si="19"/>
        <v>76542.021118792778</v>
      </c>
      <c r="V173" s="192">
        <f t="shared" si="19"/>
        <v>87723.200973423794</v>
      </c>
      <c r="W173" s="192">
        <f t="shared" si="19"/>
        <v>99985.838875149668</v>
      </c>
      <c r="X173" s="192">
        <f t="shared" si="19"/>
        <v>113348.70924227609</v>
      </c>
      <c r="Y173" s="192">
        <f t="shared" si="19"/>
        <v>127810.59181753034</v>
      </c>
      <c r="Z173" s="192">
        <f t="shared" si="19"/>
        <v>143349.60980904833</v>
      </c>
      <c r="AA173" s="192">
        <f t="shared" si="19"/>
        <v>159924.13552156536</v>
      </c>
    </row>
    <row r="174" spans="3:27" outlineLevel="1" x14ac:dyDescent="0.45">
      <c r="C174" s="190" t="s">
        <v>13</v>
      </c>
      <c r="D174" s="26" t="s">
        <v>18</v>
      </c>
      <c r="E174" s="191" t="str">
        <f>IFERROR(E173/D173-1, "N/A")</f>
        <v>N/A</v>
      </c>
      <c r="F174" s="191">
        <f>IFERROR(F173/E173-1, "N/A")</f>
        <v>-9.4280412371134013</v>
      </c>
      <c r="G174" s="191">
        <f t="shared" ref="G174" si="20">IFERROR(G173/F173-1, "N/A")</f>
        <v>1.8619238673059986</v>
      </c>
      <c r="H174" s="191">
        <f t="shared" ref="H174" si="21">IFERROR(H173/G173-1, "N/A")</f>
        <v>0.90157758854353842</v>
      </c>
      <c r="I174" s="191">
        <f t="shared" ref="I174" si="22">IFERROR(I173/H173-1, "N/A")</f>
        <v>0.22097136603076306</v>
      </c>
      <c r="J174" s="191">
        <f t="shared" ref="J174" si="23">IFERROR(J173/I173-1, "N/A")</f>
        <v>-0.12691125117223589</v>
      </c>
      <c r="K174" s="191">
        <f t="shared" ref="K174" si="24">IFERROR(K173/J173-1, "N/A")</f>
        <v>-7.4447577261969378E-2</v>
      </c>
      <c r="L174" s="191">
        <f t="shared" ref="L174" si="25">IFERROR(L173/K173-1, "N/A")</f>
        <v>-0.61928781872826066</v>
      </c>
      <c r="M174" s="191">
        <f t="shared" ref="M174" si="26">IFERROR(M173/L173-1, "N/A")</f>
        <v>-1.5054511205871846</v>
      </c>
      <c r="N174" s="191">
        <f t="shared" ref="N174" si="27">IFERROR(N173/M173-1, "N/A")</f>
        <v>3.1678836187625263</v>
      </c>
      <c r="O174" s="191">
        <f t="shared" ref="O174" si="28">IFERROR(O173/N173-1, "N/A")</f>
        <v>0.32779120847863719</v>
      </c>
      <c r="P174" s="191">
        <f t="shared" ref="P174" si="29">IFERROR(P173/O173-1, "N/A")</f>
        <v>0.20171635207775007</v>
      </c>
      <c r="Q174" s="191">
        <f t="shared" ref="Q174" si="30">IFERROR(Q173/P173-1, "N/A")</f>
        <v>0.18733859685384857</v>
      </c>
      <c r="R174" s="191">
        <f t="shared" ref="R174" si="31">IFERROR(R173/Q173-1, "N/A")</f>
        <v>0.17650487039396956</v>
      </c>
      <c r="S174" s="191">
        <f t="shared" ref="S174" si="32">IFERROR(S173/R173-1, "N/A")</f>
        <v>0.16749711696938019</v>
      </c>
      <c r="T174" s="191">
        <f t="shared" ref="T174" si="33">IFERROR(T173/S173-1, "N/A")</f>
        <v>0.15968756667563633</v>
      </c>
      <c r="U174" s="191">
        <f t="shared" ref="U174" si="34">IFERROR(U173/T173-1, "N/A")</f>
        <v>0.15264637936876579</v>
      </c>
      <c r="V174" s="191">
        <f t="shared" ref="V174" si="35">IFERROR(V173/U173-1, "N/A")</f>
        <v>0.14607897323847618</v>
      </c>
      <c r="W174" s="191">
        <f t="shared" ref="W174" si="36">IFERROR(W173/V173-1, "N/A")</f>
        <v>0.13978785276475381</v>
      </c>
      <c r="X174" s="191">
        <f t="shared" ref="X174" si="37">IFERROR(X173/W173-1, "N/A")</f>
        <v>0.1336476296789626</v>
      </c>
      <c r="Y174" s="191">
        <f t="shared" ref="Y174" si="38">IFERROR(Y173/X173-1, "N/A")</f>
        <v>0.12758753647862764</v>
      </c>
      <c r="Z174" s="191">
        <f t="shared" ref="Z174" si="39">IFERROR(Z173/Y173-1, "N/A")</f>
        <v>0.12157848399373949</v>
      </c>
      <c r="AA174" s="191">
        <f t="shared" ref="AA174" si="40">IFERROR(AA173/Z173-1, "N/A")</f>
        <v>0.11562309611163535</v>
      </c>
    </row>
    <row r="175" spans="3:27" outlineLevel="1" x14ac:dyDescent="0.45">
      <c r="C175" s="156"/>
      <c r="D175" s="189"/>
      <c r="E175" s="175"/>
    </row>
    <row r="176" spans="3:27" outlineLevel="1" x14ac:dyDescent="0.45">
      <c r="C176" s="156" t="s">
        <v>50</v>
      </c>
      <c r="D176" s="25" t="s">
        <v>56</v>
      </c>
      <c r="E176" s="175"/>
      <c r="H176" s="74">
        <v>1</v>
      </c>
      <c r="I176" s="13">
        <f t="shared" ref="I176:AA176" si="41">H176+1</f>
        <v>2</v>
      </c>
      <c r="J176" s="13">
        <f t="shared" si="41"/>
        <v>3</v>
      </c>
      <c r="K176" s="13">
        <f t="shared" si="41"/>
        <v>4</v>
      </c>
      <c r="L176" s="13">
        <f t="shared" si="41"/>
        <v>5</v>
      </c>
      <c r="M176" s="13">
        <f t="shared" si="41"/>
        <v>6</v>
      </c>
      <c r="N176" s="13">
        <f t="shared" si="41"/>
        <v>7</v>
      </c>
      <c r="O176" s="13">
        <f t="shared" si="41"/>
        <v>8</v>
      </c>
      <c r="P176" s="13">
        <f t="shared" si="41"/>
        <v>9</v>
      </c>
      <c r="Q176" s="13">
        <f t="shared" si="41"/>
        <v>10</v>
      </c>
      <c r="R176" s="13">
        <f t="shared" si="41"/>
        <v>11</v>
      </c>
      <c r="S176" s="13">
        <f t="shared" si="41"/>
        <v>12</v>
      </c>
      <c r="T176" s="13">
        <f t="shared" si="41"/>
        <v>13</v>
      </c>
      <c r="U176" s="13">
        <f t="shared" si="41"/>
        <v>14</v>
      </c>
      <c r="V176" s="13">
        <f t="shared" si="41"/>
        <v>15</v>
      </c>
      <c r="W176" s="13">
        <f t="shared" si="41"/>
        <v>16</v>
      </c>
      <c r="X176" s="13">
        <f t="shared" si="41"/>
        <v>17</v>
      </c>
      <c r="Y176" s="13">
        <f t="shared" si="41"/>
        <v>18</v>
      </c>
      <c r="Z176" s="13">
        <f t="shared" si="41"/>
        <v>19</v>
      </c>
      <c r="AA176" s="13">
        <f t="shared" si="41"/>
        <v>20</v>
      </c>
    </row>
    <row r="177" spans="2:27" outlineLevel="1" x14ac:dyDescent="0.45">
      <c r="C177" s="156" t="s">
        <v>385</v>
      </c>
      <c r="D177" s="26" t="s">
        <v>18</v>
      </c>
      <c r="E177" s="196"/>
      <c r="F177" s="196"/>
      <c r="G177" s="196"/>
      <c r="H177" s="332">
        <f>H135/H$138*STLK!H101+H136/H$138*AI!H104+H137/H$138*SPC!H83</f>
        <v>0.12348364663533484</v>
      </c>
      <c r="I177" s="332">
        <f>I135/I$138*STLK!I101+I136/I$138*AI!I104+I137/I$138*SPC!I83</f>
        <v>0.12621869461785895</v>
      </c>
      <c r="J177" s="332">
        <f>J135/J$138*STLK!J101+J136/J$138*AI!J104+J137/J$138*SPC!J83</f>
        <v>0.12468328993254607</v>
      </c>
      <c r="K177" s="332">
        <f>K135/K$138*STLK!K101+K136/K$138*AI!K104+K137/K$138*SPC!K83</f>
        <v>0.12302489779381497</v>
      </c>
      <c r="L177" s="332">
        <f>L135/L$138*STLK!L101+L136/L$138*AI!L104+L137/L$138*SPC!L83</f>
        <v>0.12099677205085015</v>
      </c>
      <c r="M177" s="332">
        <f>M135/M$138*STLK!M101+M136/M$138*AI!M104+M137/M$138*SPC!M83</f>
        <v>0.11921199225826504</v>
      </c>
      <c r="N177" s="332">
        <f>N135/N$138*STLK!N101+N136/N$138*AI!N104+N137/N$138*SPC!N83</f>
        <v>0.11709440997213613</v>
      </c>
      <c r="O177" s="332">
        <f>O135/O$138*STLK!O101+O136/O$138*AI!O104+O137/O$138*SPC!O83</f>
        <v>0.11490250682890049</v>
      </c>
      <c r="P177" s="332">
        <f>P135/P$138*STLK!P101+P136/P$138*AI!P104+P137/P$138*SPC!P83</f>
        <v>0.11270543953611294</v>
      </c>
      <c r="Q177" s="332">
        <f>Q135/Q$138*STLK!Q101+Q136/Q$138*AI!Q104+Q137/Q$138*SPC!Q83</f>
        <v>0.11051357001234205</v>
      </c>
      <c r="R177" s="332">
        <f>R135/R$138*STLK!R101+R136/R$138*AI!R104+R137/R$138*SPC!R83</f>
        <v>0.10830869178301405</v>
      </c>
      <c r="S177" s="332">
        <f>S135/S$138*STLK!S101+S136/S$138*AI!S104+S137/S$138*SPC!S83</f>
        <v>0.10607872952859349</v>
      </c>
      <c r="T177" s="332">
        <f>T135/T$138*STLK!T101+T136/T$138*AI!T104+T137/T$138*SPC!T83</f>
        <v>0.10381660090822166</v>
      </c>
      <c r="U177" s="332">
        <f>U135/U$138*STLK!U101+U136/U$138*AI!U104+U137/U$138*SPC!U83</f>
        <v>0.10151928460390738</v>
      </c>
      <c r="V177" s="332">
        <f>V135/V$138*STLK!V101+V136/V$138*AI!V104+V137/V$138*SPC!V83</f>
        <v>9.9187018585706777E-2</v>
      </c>
      <c r="W177" s="332">
        <f>W135/W$138*STLK!W101+W136/W$138*AI!W104+W137/W$138*SPC!W83</f>
        <v>9.6822595713308368E-2</v>
      </c>
      <c r="X177" s="332">
        <f>X135/X$138*STLK!X101+X136/X$138*AI!X104+X137/X$138*SPC!X83</f>
        <v>9.4430744874587066E-2</v>
      </c>
      <c r="Y177" s="332">
        <f>Y135/Y$138*STLK!Y101+Y136/Y$138*AI!Y104+Y137/Y$138*SPC!Y83</f>
        <v>9.2017593478940077E-2</v>
      </c>
      <c r="Z177" s="332">
        <f>Z135/Z$138*STLK!Z101+Z136/Z$138*AI!Z104+Z137/Z$138*SPC!Z83</f>
        <v>8.9590207200041655E-2</v>
      </c>
      <c r="AA177" s="332">
        <f>AA135/AA$138*STLK!AA101+AA136/AA$138*AI!AA104+AA137/AA$138*SPC!AA83</f>
        <v>8.7156199503850035E-2</v>
      </c>
    </row>
    <row r="178" spans="2:27" outlineLevel="1" x14ac:dyDescent="0.45">
      <c r="C178" s="156" t="s">
        <v>51</v>
      </c>
      <c r="D178" s="26" t="s">
        <v>56</v>
      </c>
      <c r="E178" s="197"/>
      <c r="F178" s="197"/>
      <c r="G178" s="197"/>
      <c r="H178" s="77">
        <f>1/((1+H177)^H176)</f>
        <v>0.89008861232190617</v>
      </c>
      <c r="I178" s="77">
        <f t="shared" ref="I178:AA178" si="42">1/((1+I177)^I176)</f>
        <v>0.78841437805491332</v>
      </c>
      <c r="J178" s="77">
        <f t="shared" si="42"/>
        <v>0.70292545732958533</v>
      </c>
      <c r="K178" s="77">
        <f t="shared" si="42"/>
        <v>0.62869855298758159</v>
      </c>
      <c r="L178" s="77">
        <f t="shared" si="42"/>
        <v>0.56490860453973313</v>
      </c>
      <c r="M178" s="77">
        <f t="shared" si="42"/>
        <v>0.50877512584597029</v>
      </c>
      <c r="N178" s="77">
        <f t="shared" si="42"/>
        <v>0.460649760795938</v>
      </c>
      <c r="O178" s="77">
        <f t="shared" si="42"/>
        <v>0.41889469880740998</v>
      </c>
      <c r="P178" s="77">
        <f t="shared" si="42"/>
        <v>0.38245302456493269</v>
      </c>
      <c r="Q178" s="77">
        <f t="shared" si="42"/>
        <v>0.35055914569982732</v>
      </c>
      <c r="R178" s="77">
        <f t="shared" si="42"/>
        <v>0.32265014849558965</v>
      </c>
      <c r="S178" s="77">
        <f t="shared" si="42"/>
        <v>0.29824111315839325</v>
      </c>
      <c r="T178" s="77">
        <f t="shared" si="42"/>
        <v>0.27691088150994553</v>
      </c>
      <c r="U178" s="77">
        <f t="shared" si="42"/>
        <v>0.25829174827455814</v>
      </c>
      <c r="V178" s="77">
        <f t="shared" si="42"/>
        <v>0.24206173353083835</v>
      </c>
      <c r="W178" s="77">
        <f t="shared" si="42"/>
        <v>0.22793854890845966</v>
      </c>
      <c r="X178" s="77">
        <f t="shared" si="42"/>
        <v>0.21567467805961199</v>
      </c>
      <c r="Y178" s="77">
        <f t="shared" si="42"/>
        <v>0.2050532060374321</v>
      </c>
      <c r="Z178" s="77">
        <f t="shared" si="42"/>
        <v>0.19588418089055362</v>
      </c>
      <c r="AA178" s="77">
        <f t="shared" si="42"/>
        <v>0.18800139194378976</v>
      </c>
    </row>
    <row r="179" spans="2:27" outlineLevel="1" x14ac:dyDescent="0.45">
      <c r="C179" s="156"/>
      <c r="D179" s="189"/>
      <c r="E179" s="175"/>
    </row>
    <row r="180" spans="2:27" outlineLevel="1" x14ac:dyDescent="0.45">
      <c r="C180" s="185" t="s">
        <v>10</v>
      </c>
      <c r="D180" s="26" t="s">
        <v>20</v>
      </c>
      <c r="E180" s="198">
        <f t="shared" ref="E180:AA180" si="43">E151-E149+E165</f>
        <v>3142</v>
      </c>
      <c r="F180" s="198">
        <f t="shared" si="43"/>
        <v>4566</v>
      </c>
      <c r="G180" s="198">
        <f t="shared" si="43"/>
        <v>4637</v>
      </c>
      <c r="H180" s="198">
        <f t="shared" si="43"/>
        <v>10587.817279984591</v>
      </c>
      <c r="I180" s="198">
        <f t="shared" si="43"/>
        <v>11817.540905376847</v>
      </c>
      <c r="J180" s="198">
        <f t="shared" si="43"/>
        <v>21499.85403083948</v>
      </c>
      <c r="K180" s="198">
        <f t="shared" si="43"/>
        <v>33750.549233079597</v>
      </c>
      <c r="L180" s="198">
        <f t="shared" si="43"/>
        <v>48669.750062963227</v>
      </c>
      <c r="M180" s="198">
        <f t="shared" si="43"/>
        <v>65820.364389194132</v>
      </c>
      <c r="N180" s="198">
        <f t="shared" si="43"/>
        <v>84123.872350458114</v>
      </c>
      <c r="O180" s="198">
        <f t="shared" si="43"/>
        <v>92244.682756545822</v>
      </c>
      <c r="P180" s="198">
        <f t="shared" si="43"/>
        <v>101054.96861945899</v>
      </c>
      <c r="Q180" s="198">
        <f t="shared" si="43"/>
        <v>110696.82277690028</v>
      </c>
      <c r="R180" s="198">
        <f t="shared" si="43"/>
        <v>121272.45378432564</v>
      </c>
      <c r="S180" s="198">
        <f t="shared" si="43"/>
        <v>132883.11567298329</v>
      </c>
      <c r="T180" s="198">
        <f t="shared" si="43"/>
        <v>145624.87143973363</v>
      </c>
      <c r="U180" s="198">
        <f t="shared" si="43"/>
        <v>159583.90413760004</v>
      </c>
      <c r="V180" s="198">
        <f t="shared" si="43"/>
        <v>174831.67631499958</v>
      </c>
      <c r="W180" s="198">
        <f t="shared" si="43"/>
        <v>191420.32550797824</v>
      </c>
      <c r="X180" s="198">
        <f t="shared" si="43"/>
        <v>209378.74918491655</v>
      </c>
      <c r="Y180" s="198">
        <f t="shared" si="43"/>
        <v>228709.8645975937</v>
      </c>
      <c r="Z180" s="198">
        <f t="shared" si="43"/>
        <v>249389.51675572433</v>
      </c>
      <c r="AA180" s="198">
        <f t="shared" si="43"/>
        <v>271367.44415717816</v>
      </c>
    </row>
    <row r="181" spans="2:27" outlineLevel="1" x14ac:dyDescent="0.45">
      <c r="C181" s="190" t="s">
        <v>97</v>
      </c>
      <c r="D181" s="26" t="s">
        <v>18</v>
      </c>
      <c r="E181" s="191">
        <f>E180/E138</f>
        <v>0.30249350149224991</v>
      </c>
      <c r="F181" s="191">
        <f t="shared" ref="F181:AA181" si="44">F180/F138</f>
        <v>0.32579379236532285</v>
      </c>
      <c r="G181" s="191">
        <f t="shared" si="44"/>
        <v>0.24831316268608761</v>
      </c>
      <c r="H181" s="191">
        <f t="shared" si="44"/>
        <v>0.29363020717703076</v>
      </c>
      <c r="I181" s="191">
        <f t="shared" si="44"/>
        <v>0.19811886658173644</v>
      </c>
      <c r="J181" s="191">
        <f t="shared" si="44"/>
        <v>0.28625332841164247</v>
      </c>
      <c r="K181" s="191">
        <f t="shared" si="44"/>
        <v>0.37159892712480758</v>
      </c>
      <c r="L181" s="191">
        <f t="shared" si="44"/>
        <v>0.46243387177808387</v>
      </c>
      <c r="M181" s="191">
        <f t="shared" si="44"/>
        <v>0.53596226698097815</v>
      </c>
      <c r="N181" s="191">
        <f t="shared" si="44"/>
        <v>0.60424182530360293</v>
      </c>
      <c r="O181" s="191">
        <f t="shared" si="44"/>
        <v>0.59284499048196171</v>
      </c>
      <c r="P181" s="191">
        <f t="shared" si="44"/>
        <v>0.58474847615671455</v>
      </c>
      <c r="Q181" s="191">
        <f t="shared" si="44"/>
        <v>0.57850322791097086</v>
      </c>
      <c r="R181" s="191">
        <f t="shared" si="44"/>
        <v>0.57404978897305137</v>
      </c>
      <c r="S181" s="191">
        <f t="shared" si="44"/>
        <v>0.57135170613106823</v>
      </c>
      <c r="T181" s="191">
        <f t="shared" si="44"/>
        <v>0.57037888918916413</v>
      </c>
      <c r="U181" s="191">
        <f t="shared" si="44"/>
        <v>0.57109683073659034</v>
      </c>
      <c r="V181" s="191">
        <f t="shared" si="44"/>
        <v>0.57346029739625504</v>
      </c>
      <c r="W181" s="191">
        <f t="shared" si="44"/>
        <v>0.57741035947112274</v>
      </c>
      <c r="X181" s="191">
        <f t="shared" si="44"/>
        <v>0.58287378493157693</v>
      </c>
      <c r="Y181" s="191">
        <f t="shared" si="44"/>
        <v>0.58976396652503948</v>
      </c>
      <c r="Z181" s="191">
        <f t="shared" si="44"/>
        <v>0.59798270419781208</v>
      </c>
      <c r="AA181" s="191">
        <f t="shared" si="44"/>
        <v>0.60742232815430797</v>
      </c>
    </row>
    <row r="182" spans="2:27" outlineLevel="1" x14ac:dyDescent="0.45">
      <c r="C182" s="190" t="s">
        <v>13</v>
      </c>
      <c r="D182" s="26" t="s">
        <v>18</v>
      </c>
      <c r="E182" s="191" t="str">
        <f>IFERROR(E180/D180-1, "N/A")</f>
        <v>N/A</v>
      </c>
      <c r="F182" s="191">
        <f t="shared" ref="F182:AA182" si="45">IFERROR(F180/E180-1, "N/A")</f>
        <v>0.45321451304901328</v>
      </c>
      <c r="G182" s="191">
        <f t="shared" si="45"/>
        <v>1.5549715286903298E-2</v>
      </c>
      <c r="H182" s="191">
        <f t="shared" si="45"/>
        <v>1.2833334655994371</v>
      </c>
      <c r="I182" s="191">
        <f t="shared" si="45"/>
        <v>0.11614514992782787</v>
      </c>
      <c r="J182" s="191">
        <f t="shared" si="45"/>
        <v>0.81931708153066696</v>
      </c>
      <c r="K182" s="191">
        <f t="shared" si="45"/>
        <v>0.56980364539534389</v>
      </c>
      <c r="L182" s="191">
        <f t="shared" si="45"/>
        <v>0.44204320133732877</v>
      </c>
      <c r="M182" s="191">
        <f t="shared" si="45"/>
        <v>0.3523875570358066</v>
      </c>
      <c r="N182" s="191">
        <f t="shared" si="45"/>
        <v>0.27808275039372021</v>
      </c>
      <c r="O182" s="191">
        <f t="shared" si="45"/>
        <v>9.6533958544568588E-2</v>
      </c>
      <c r="P182" s="191">
        <f t="shared" si="45"/>
        <v>9.5509958944359541E-2</v>
      </c>
      <c r="Q182" s="191">
        <f t="shared" si="45"/>
        <v>9.541197517708877E-2</v>
      </c>
      <c r="R182" s="191">
        <f t="shared" si="45"/>
        <v>9.5536897465789083E-2</v>
      </c>
      <c r="S182" s="191">
        <f t="shared" si="45"/>
        <v>9.5740306445075918E-2</v>
      </c>
      <c r="T182" s="191">
        <f t="shared" si="45"/>
        <v>9.5886943214869902E-2</v>
      </c>
      <c r="U182" s="191">
        <f t="shared" si="45"/>
        <v>9.5856103149545513E-2</v>
      </c>
      <c r="V182" s="191">
        <f t="shared" si="45"/>
        <v>9.554705569962918E-2</v>
      </c>
      <c r="W182" s="191">
        <f t="shared" si="45"/>
        <v>9.488354480506378E-2</v>
      </c>
      <c r="X182" s="191">
        <f t="shared" si="45"/>
        <v>9.3816702219482018E-2</v>
      </c>
      <c r="Y182" s="191">
        <f t="shared" si="45"/>
        <v>9.2326062162137124E-2</v>
      </c>
      <c r="Z182" s="191">
        <f t="shared" si="45"/>
        <v>9.0418715408343564E-2</v>
      </c>
      <c r="AA182" s="191">
        <f t="shared" si="45"/>
        <v>8.8126909612568527E-2</v>
      </c>
    </row>
    <row r="183" spans="2:27" outlineLevel="1" x14ac:dyDescent="0.45">
      <c r="C183" s="156"/>
      <c r="D183" s="189"/>
      <c r="E183" s="175"/>
    </row>
    <row r="184" spans="2:27" outlineLevel="1" x14ac:dyDescent="0.45">
      <c r="C184" s="167" t="s">
        <v>405</v>
      </c>
      <c r="D184" s="26" t="s">
        <v>20</v>
      </c>
      <c r="E184" s="175"/>
      <c r="G184" s="175">
        <f>$K$10</f>
        <v>1681</v>
      </c>
      <c r="H184" s="175">
        <f>G184+H167</f>
        <v>1070</v>
      </c>
      <c r="I184" s="175">
        <f t="shared" ref="I184:AA184" si="46">H184+I167</f>
        <v>459</v>
      </c>
      <c r="J184" s="175">
        <f t="shared" si="46"/>
        <v>0</v>
      </c>
      <c r="K184" s="175">
        <f t="shared" si="46"/>
        <v>0</v>
      </c>
      <c r="L184" s="175">
        <f t="shared" si="46"/>
        <v>0</v>
      </c>
      <c r="M184" s="175">
        <f t="shared" si="46"/>
        <v>0</v>
      </c>
      <c r="N184" s="175">
        <f t="shared" si="46"/>
        <v>0</v>
      </c>
      <c r="O184" s="175">
        <f t="shared" si="46"/>
        <v>0</v>
      </c>
      <c r="P184" s="175">
        <f t="shared" si="46"/>
        <v>0</v>
      </c>
      <c r="Q184" s="175">
        <f t="shared" si="46"/>
        <v>0</v>
      </c>
      <c r="R184" s="175">
        <f t="shared" si="46"/>
        <v>0</v>
      </c>
      <c r="S184" s="175">
        <f t="shared" si="46"/>
        <v>0</v>
      </c>
      <c r="T184" s="175">
        <f t="shared" si="46"/>
        <v>0</v>
      </c>
      <c r="U184" s="175">
        <f t="shared" si="46"/>
        <v>0</v>
      </c>
      <c r="V184" s="175">
        <f t="shared" si="46"/>
        <v>0</v>
      </c>
      <c r="W184" s="175">
        <f t="shared" si="46"/>
        <v>0</v>
      </c>
      <c r="X184" s="175">
        <f t="shared" si="46"/>
        <v>0</v>
      </c>
      <c r="Y184" s="175">
        <f t="shared" si="46"/>
        <v>0</v>
      </c>
      <c r="Z184" s="175">
        <f t="shared" si="46"/>
        <v>0</v>
      </c>
      <c r="AA184" s="175">
        <f t="shared" si="46"/>
        <v>0</v>
      </c>
    </row>
    <row r="185" spans="2:27" outlineLevel="1" x14ac:dyDescent="0.45">
      <c r="C185" s="167" t="s">
        <v>397</v>
      </c>
      <c r="D185" s="26" t="s">
        <v>20</v>
      </c>
      <c r="E185" s="175"/>
      <c r="F185" s="175"/>
      <c r="G185" s="175"/>
      <c r="H185" s="175">
        <f t="shared" ref="H185:AA185" si="47">H148+H149+H167</f>
        <v>-1102.1546903845856</v>
      </c>
      <c r="I185" s="175">
        <f t="shared" si="47"/>
        <v>-1082.0207036227787</v>
      </c>
      <c r="J185" s="175">
        <f t="shared" si="47"/>
        <v>-886.40593521758331</v>
      </c>
      <c r="K185" s="175">
        <f t="shared" si="47"/>
        <v>-454.12603171676983</v>
      </c>
      <c r="L185" s="175">
        <f t="shared" si="47"/>
        <v>-526.23470114575889</v>
      </c>
      <c r="M185" s="175">
        <f t="shared" si="47"/>
        <v>-614.03916324141301</v>
      </c>
      <c r="N185" s="175">
        <f t="shared" si="47"/>
        <v>-696.11096772546193</v>
      </c>
      <c r="O185" s="175">
        <f t="shared" si="47"/>
        <v>-777.98315105567656</v>
      </c>
      <c r="P185" s="175">
        <f t="shared" si="47"/>
        <v>-864.08920022885127</v>
      </c>
      <c r="Q185" s="175">
        <f t="shared" si="47"/>
        <v>-956.75198889241153</v>
      </c>
      <c r="R185" s="175">
        <f t="shared" si="47"/>
        <v>-1056.2886365769464</v>
      </c>
      <c r="S185" s="175">
        <f t="shared" si="47"/>
        <v>-1162.8836865895337</v>
      </c>
      <c r="T185" s="175">
        <f t="shared" si="47"/>
        <v>-1276.5625990010794</v>
      </c>
      <c r="U185" s="175">
        <f t="shared" si="47"/>
        <v>-1397.1702831179402</v>
      </c>
      <c r="V185" s="175">
        <f t="shared" si="47"/>
        <v>-1524.3572842689121</v>
      </c>
      <c r="W185" s="175">
        <f t="shared" si="47"/>
        <v>-1657.5761273430312</v>
      </c>
      <c r="X185" s="175">
        <f t="shared" si="47"/>
        <v>-1796.0899477534006</v>
      </c>
      <c r="Y185" s="175">
        <f t="shared" si="47"/>
        <v>-1938.994899478005</v>
      </c>
      <c r="Z185" s="175">
        <f t="shared" si="47"/>
        <v>-2085.2569397494358</v>
      </c>
      <c r="AA185" s="175">
        <f t="shared" si="47"/>
        <v>-2233.7625041027527</v>
      </c>
    </row>
    <row r="186" spans="2:27" outlineLevel="1" x14ac:dyDescent="0.45">
      <c r="C186" s="167"/>
      <c r="D186" s="26"/>
      <c r="E186" s="175"/>
      <c r="F186" s="175"/>
      <c r="G186" s="175"/>
      <c r="H186" s="175"/>
      <c r="I186" s="175"/>
      <c r="J186" s="175"/>
      <c r="K186" s="175"/>
      <c r="L186" s="175"/>
      <c r="M186" s="175"/>
      <c r="N186" s="175"/>
      <c r="O186" s="175"/>
      <c r="P186" s="175"/>
      <c r="Q186" s="175"/>
      <c r="R186" s="175"/>
      <c r="S186" s="175"/>
      <c r="T186" s="175"/>
      <c r="U186" s="175"/>
      <c r="V186" s="175"/>
      <c r="W186" s="175"/>
      <c r="X186" s="334"/>
      <c r="Y186" s="334"/>
      <c r="Z186" s="334"/>
      <c r="AA186" s="334"/>
    </row>
    <row r="187" spans="2:27" outlineLevel="1" x14ac:dyDescent="0.45">
      <c r="C187" s="116" t="s">
        <v>386</v>
      </c>
      <c r="D187" s="26" t="s">
        <v>20</v>
      </c>
      <c r="E187" s="175"/>
      <c r="G187" s="335"/>
      <c r="H187" s="336">
        <f>SPC!H65+STLK!H83+AI!H86</f>
        <v>-1654.9163815479837</v>
      </c>
      <c r="I187" s="336">
        <f>SPC!I65+STLK!I83+AI!I86</f>
        <v>-2251.6831417061389</v>
      </c>
      <c r="J187" s="336">
        <f>SPC!J65+STLK!J83+AI!J86</f>
        <v>-2881.9716890874679</v>
      </c>
      <c r="K187" s="336">
        <f>SPC!K65+STLK!K83+AI!K86</f>
        <v>-3565.3042314854001</v>
      </c>
      <c r="L187" s="336">
        <f>SPC!L65+STLK!L83+AI!L86</f>
        <v>-5711.7247649907731</v>
      </c>
      <c r="M187" s="336">
        <f>SPC!M65+STLK!M83+AI!M86</f>
        <v>-9440.0816668392144</v>
      </c>
      <c r="N187" s="336">
        <f>SPC!N65+STLK!N83+AI!N86</f>
        <v>-13861.386851087573</v>
      </c>
      <c r="O187" s="336">
        <f>SPC!O65+STLK!O83+AI!O86</f>
        <v>-15816.293137636483</v>
      </c>
      <c r="P187" s="336">
        <f>SPC!P65+STLK!P83+AI!P86</f>
        <v>-17927.746054545241</v>
      </c>
      <c r="Q187" s="336">
        <f>SPC!Q65+STLK!Q83+AI!Q86</f>
        <v>-20261.804745461857</v>
      </c>
      <c r="R187" s="336">
        <f>SPC!R65+STLK!R83+AI!R86</f>
        <v>-22844.398459120148</v>
      </c>
      <c r="S187" s="336">
        <f>SPC!S65+STLK!S83+AI!S86</f>
        <v>-25701.20364381386</v>
      </c>
      <c r="T187" s="336">
        <f>SPC!T65+STLK!T83+AI!T86</f>
        <v>-28856.557235894012</v>
      </c>
      <c r="U187" s="336">
        <f>SPC!U65+STLK!U83+AI!U86</f>
        <v>-32332.256410451322</v>
      </c>
      <c r="V187" s="336">
        <f>SPC!V65+STLK!V83+AI!V86</f>
        <v>-36146.321545350271</v>
      </c>
      <c r="W187" s="336">
        <f>SPC!W65+STLK!W83+AI!W86</f>
        <v>-40311.820977370749</v>
      </c>
      <c r="X187" s="336">
        <f>SPC!X65+STLK!X83+AI!X86</f>
        <v>-44835.872523871556</v>
      </c>
      <c r="Y187" s="336">
        <f>SPC!Y65+STLK!Y83+AI!Y86</f>
        <v>-49718.944599256363</v>
      </c>
      <c r="Z187" s="336">
        <f>SPC!Z65+STLK!Z83+AI!Z86</f>
        <v>-54954.576410433066</v>
      </c>
      <c r="AA187" s="336">
        <f>SPC!AA65+STLK!AA83+AI!AA86</f>
        <v>-60529.620418510356</v>
      </c>
    </row>
    <row r="188" spans="2:27" outlineLevel="1" x14ac:dyDescent="0.45">
      <c r="C188" s="167" t="s">
        <v>387</v>
      </c>
      <c r="D188" s="26" t="s">
        <v>20</v>
      </c>
      <c r="E188" s="175"/>
      <c r="F188" s="175"/>
      <c r="G188" s="175"/>
      <c r="H188" s="175">
        <f t="shared" ref="H188:AA188" si="48">H161-H187</f>
        <v>1654.9163815479837</v>
      </c>
      <c r="I188" s="175">
        <f t="shared" si="48"/>
        <v>2251.6831417061389</v>
      </c>
      <c r="J188" s="175">
        <f t="shared" si="48"/>
        <v>2782.8016714328633</v>
      </c>
      <c r="K188" s="175">
        <f t="shared" si="48"/>
        <v>2484.4655094934287</v>
      </c>
      <c r="L188" s="175">
        <f t="shared" si="48"/>
        <v>131.55867528644012</v>
      </c>
      <c r="M188" s="175">
        <f t="shared" si="48"/>
        <v>153.50979081035257</v>
      </c>
      <c r="N188" s="175">
        <f t="shared" si="48"/>
        <v>174.02774193136611</v>
      </c>
      <c r="O188" s="175">
        <f t="shared" si="48"/>
        <v>194.495787763919</v>
      </c>
      <c r="P188" s="175">
        <f t="shared" si="48"/>
        <v>216.0223000572114</v>
      </c>
      <c r="Q188" s="175">
        <f t="shared" si="48"/>
        <v>239.18799722310359</v>
      </c>
      <c r="R188" s="175">
        <f t="shared" si="48"/>
        <v>264.07215914423796</v>
      </c>
      <c r="S188" s="175">
        <f t="shared" si="48"/>
        <v>290.72092164738206</v>
      </c>
      <c r="T188" s="175">
        <f t="shared" si="48"/>
        <v>319.14064975026486</v>
      </c>
      <c r="U188" s="175">
        <f t="shared" si="48"/>
        <v>349.29257077948569</v>
      </c>
      <c r="V188" s="175">
        <f t="shared" si="48"/>
        <v>381.08932106722932</v>
      </c>
      <c r="W188" s="175">
        <f t="shared" si="48"/>
        <v>414.39403183574905</v>
      </c>
      <c r="X188" s="175">
        <f t="shared" si="48"/>
        <v>449.02248693835281</v>
      </c>
      <c r="Y188" s="175">
        <f t="shared" si="48"/>
        <v>484.74872486950335</v>
      </c>
      <c r="Z188" s="175">
        <f t="shared" si="48"/>
        <v>521.31423493735201</v>
      </c>
      <c r="AA188" s="175">
        <f t="shared" si="48"/>
        <v>558.44062602568738</v>
      </c>
    </row>
    <row r="190" spans="2:27" x14ac:dyDescent="0.45">
      <c r="B190" s="199" t="s">
        <v>192</v>
      </c>
      <c r="C190" s="199"/>
      <c r="D190" s="199"/>
      <c r="E190" s="200"/>
      <c r="F190" s="200"/>
      <c r="G190" s="201"/>
      <c r="H190" s="201"/>
      <c r="I190" s="202"/>
      <c r="J190" s="202"/>
      <c r="K190" s="202"/>
      <c r="L190" s="202"/>
      <c r="M190" s="202"/>
      <c r="N190" s="202"/>
      <c r="O190" s="202"/>
      <c r="P190" s="202"/>
      <c r="Q190" s="202"/>
      <c r="R190" s="202"/>
      <c r="S190" s="202"/>
      <c r="T190" s="202"/>
    </row>
    <row r="191" spans="2:27" outlineLevel="1" x14ac:dyDescent="0.45"/>
    <row r="192" spans="2:27" outlineLevel="1" x14ac:dyDescent="0.45">
      <c r="C192" s="157" t="str">
        <f>Div_1&amp;" Sensitivity for Implied Enterprise Value - Initial Addressable Rural Households vs. Final Market Penetration:"</f>
        <v>Starlink Sensitivity for Implied Enterprise Value - Initial Addressable Rural Households vs. Final Market Penetration:</v>
      </c>
      <c r="D192" s="189"/>
      <c r="E192" s="189"/>
      <c r="F192" s="189"/>
    </row>
    <row r="193" spans="3:12" outlineLevel="1" x14ac:dyDescent="0.45">
      <c r="C193" s="189"/>
      <c r="D193" s="189"/>
      <c r="E193" s="189"/>
      <c r="F193" s="189"/>
    </row>
    <row r="194" spans="3:12" outlineLevel="1" x14ac:dyDescent="0.45">
      <c r="C194" s="203"/>
      <c r="D194" s="204"/>
      <c r="E194" s="205" t="s">
        <v>414</v>
      </c>
      <c r="F194" s="205"/>
      <c r="G194" s="206"/>
      <c r="H194" s="206"/>
      <c r="I194" s="206"/>
      <c r="J194" s="358"/>
      <c r="K194" s="358"/>
      <c r="L194" s="358"/>
    </row>
    <row r="195" spans="3:12" outlineLevel="1" x14ac:dyDescent="0.45">
      <c r="C195" s="207"/>
      <c r="D195" s="208">
        <f>STLK!$O$26</f>
        <v>231145.66374412453</v>
      </c>
      <c r="E195" s="353">
        <v>200</v>
      </c>
      <c r="F195" s="353">
        <f>E195+100</f>
        <v>300</v>
      </c>
      <c r="G195" s="354">
        <f t="shared" ref="G195:I195" si="49">F195+100</f>
        <v>400</v>
      </c>
      <c r="H195" s="355">
        <f t="shared" si="49"/>
        <v>500</v>
      </c>
      <c r="I195" s="362">
        <f t="shared" si="49"/>
        <v>600</v>
      </c>
      <c r="J195" s="361"/>
      <c r="K195" s="361"/>
      <c r="L195" s="361"/>
    </row>
    <row r="196" spans="3:12" outlineLevel="1" x14ac:dyDescent="0.45">
      <c r="C196" s="373" t="s">
        <v>412</v>
      </c>
      <c r="D196" s="209">
        <f t="shared" ref="D196:D198" si="50">D197+10%</f>
        <v>0.5</v>
      </c>
      <c r="E196" s="348">
        <f t="dataTable" ref="E196:I200" dt2D="1" dtr="1" r1="E23" r2="E25" ca="1"/>
        <v>207713.44729476096</v>
      </c>
      <c r="F196" s="349">
        <v>266293.9884181699</v>
      </c>
      <c r="G196" s="349">
        <v>324874.52954157873</v>
      </c>
      <c r="H196" s="350">
        <v>383455.07066498767</v>
      </c>
      <c r="I196" s="249">
        <v>442035.61178839655</v>
      </c>
      <c r="J196" s="249"/>
      <c r="K196" s="249"/>
      <c r="L196" s="249"/>
    </row>
    <row r="197" spans="3:12" outlineLevel="1" x14ac:dyDescent="0.45">
      <c r="C197" s="374"/>
      <c r="D197" s="209">
        <f t="shared" si="50"/>
        <v>0.4</v>
      </c>
      <c r="E197" s="346">
        <v>184281.23084539745</v>
      </c>
      <c r="F197" s="347">
        <v>231145.66374412464</v>
      </c>
      <c r="G197" s="347">
        <v>278010.09664285165</v>
      </c>
      <c r="H197" s="347">
        <v>324874.52954157884</v>
      </c>
      <c r="I197" s="248">
        <v>371738.96244030586</v>
      </c>
      <c r="J197" s="248"/>
      <c r="K197" s="248"/>
      <c r="L197" s="248"/>
    </row>
    <row r="198" spans="3:12" outlineLevel="1" x14ac:dyDescent="0.45">
      <c r="C198" s="374"/>
      <c r="D198" s="209">
        <f t="shared" si="50"/>
        <v>0.30000000000000004</v>
      </c>
      <c r="E198" s="346">
        <v>160849.01439603395</v>
      </c>
      <c r="F198" s="347">
        <v>195997.33907007927</v>
      </c>
      <c r="G198" s="347">
        <v>231145.66374412453</v>
      </c>
      <c r="H198" s="347">
        <v>266293.9884181699</v>
      </c>
      <c r="I198" s="248">
        <v>301442.31309221534</v>
      </c>
      <c r="J198" s="248"/>
      <c r="K198" s="248"/>
      <c r="L198" s="248"/>
    </row>
    <row r="199" spans="3:12" outlineLevel="1" x14ac:dyDescent="0.45">
      <c r="C199" s="374"/>
      <c r="D199" s="209">
        <f>D200+10%</f>
        <v>0.2</v>
      </c>
      <c r="E199" s="346">
        <v>137416.79794667033</v>
      </c>
      <c r="F199" s="347">
        <v>160849.01439603395</v>
      </c>
      <c r="G199" s="347">
        <v>184281.23084539745</v>
      </c>
      <c r="H199" s="347">
        <v>207713.44729476102</v>
      </c>
      <c r="I199" s="248">
        <v>231145.66374412464</v>
      </c>
      <c r="J199" s="248"/>
      <c r="K199" s="248"/>
      <c r="L199" s="248"/>
    </row>
    <row r="200" spans="3:12" outlineLevel="1" x14ac:dyDescent="0.45">
      <c r="C200" s="375"/>
      <c r="D200" s="210">
        <v>0.1</v>
      </c>
      <c r="E200" s="346">
        <v>113984.5814973068</v>
      </c>
      <c r="F200" s="347">
        <v>125700.68972198857</v>
      </c>
      <c r="G200" s="347">
        <v>137416.79794667033</v>
      </c>
      <c r="H200" s="347">
        <v>149132.90617135214</v>
      </c>
      <c r="I200" s="248">
        <v>160849.01439603395</v>
      </c>
      <c r="J200" s="248"/>
      <c r="K200" s="248"/>
      <c r="L200" s="248"/>
    </row>
    <row r="201" spans="3:12" outlineLevel="1" x14ac:dyDescent="0.45"/>
    <row r="202" spans="3:12" outlineLevel="1" x14ac:dyDescent="0.45">
      <c r="C202" s="157" t="str">
        <f>Div_2&amp;" Sensitivity for Implied Enterprise Value - AI Revenue per Used MW Initial Growth Rate vs. AI Data Center Final Market Share:"</f>
        <v>AI Sensitivity for Implied Enterprise Value - AI Revenue per Used MW Initial Growth Rate vs. AI Data Center Final Market Share:</v>
      </c>
      <c r="D202" s="189"/>
      <c r="E202" s="189"/>
      <c r="F202" s="189"/>
    </row>
    <row r="203" spans="3:12" outlineLevel="1" x14ac:dyDescent="0.45">
      <c r="C203" s="189"/>
      <c r="D203" s="189"/>
      <c r="E203" s="189"/>
      <c r="F203" s="189"/>
    </row>
    <row r="204" spans="3:12" outlineLevel="1" x14ac:dyDescent="0.45">
      <c r="C204" s="203"/>
      <c r="D204" s="204"/>
      <c r="E204" s="205" t="s">
        <v>295</v>
      </c>
      <c r="F204" s="205"/>
      <c r="G204" s="206"/>
      <c r="H204" s="206"/>
      <c r="I204" s="206"/>
      <c r="J204" s="358"/>
      <c r="K204" s="358"/>
      <c r="L204" s="358"/>
    </row>
    <row r="205" spans="3:12" outlineLevel="1" x14ac:dyDescent="0.45">
      <c r="C205" s="207"/>
      <c r="D205" s="208">
        <f>AI!$O$26</f>
        <v>109958.46905986435</v>
      </c>
      <c r="E205" s="209">
        <v>0.1</v>
      </c>
      <c r="F205" s="209">
        <f>E205+5%</f>
        <v>0.15000000000000002</v>
      </c>
      <c r="G205" s="210">
        <f t="shared" ref="G205:I205" si="51">F205+5%</f>
        <v>0.2</v>
      </c>
      <c r="H205" s="357">
        <f t="shared" si="51"/>
        <v>0.25</v>
      </c>
      <c r="I205" s="360">
        <f t="shared" si="51"/>
        <v>0.3</v>
      </c>
      <c r="J205" s="359"/>
      <c r="K205" s="359"/>
      <c r="L205" s="359"/>
    </row>
    <row r="206" spans="3:12" outlineLevel="1" x14ac:dyDescent="0.45">
      <c r="C206" s="373" t="s">
        <v>415</v>
      </c>
      <c r="D206" s="209">
        <f t="shared" ref="D206:D208" si="52">D207+1%</f>
        <v>7.0000000000000007E-2</v>
      </c>
      <c r="E206" s="348">
        <f t="dataTable" ref="E206:I210" dt2D="1" dtr="1" r1="E73" r2="E63" ca="1"/>
        <v>143539.84181872566</v>
      </c>
      <c r="F206" s="349">
        <v>156100.76123125633</v>
      </c>
      <c r="G206" s="349">
        <v>176851.16991798766</v>
      </c>
      <c r="H206" s="350">
        <v>208650.72662364825</v>
      </c>
      <c r="I206" s="249">
        <v>256193.15560493566</v>
      </c>
      <c r="J206" s="249"/>
      <c r="K206" s="249"/>
      <c r="L206" s="249"/>
    </row>
    <row r="207" spans="3:12" outlineLevel="1" x14ac:dyDescent="0.45">
      <c r="C207" s="374"/>
      <c r="D207" s="209">
        <f t="shared" si="52"/>
        <v>6.0000000000000005E-2</v>
      </c>
      <c r="E207" s="346">
        <v>114393.7607900672</v>
      </c>
      <c r="F207" s="347">
        <v>125327.88033714796</v>
      </c>
      <c r="G207" s="347">
        <v>143404.81948892624</v>
      </c>
      <c r="H207" s="347">
        <v>171127.65786649621</v>
      </c>
      <c r="I207" s="248">
        <v>212598.97007880523</v>
      </c>
      <c r="J207" s="248"/>
      <c r="K207" s="248"/>
      <c r="L207" s="248"/>
    </row>
    <row r="208" spans="3:12" outlineLevel="1" x14ac:dyDescent="0.45">
      <c r="C208" s="374"/>
      <c r="D208" s="209">
        <f t="shared" si="52"/>
        <v>0.05</v>
      </c>
      <c r="E208" s="346">
        <v>85247.679761408363</v>
      </c>
      <c r="F208" s="347">
        <v>94554.99944303924</v>
      </c>
      <c r="G208" s="347">
        <v>109958.46905986435</v>
      </c>
      <c r="H208" s="347">
        <v>133604.5891093438</v>
      </c>
      <c r="I208" s="248">
        <v>169004.7845526741</v>
      </c>
      <c r="J208" s="248"/>
      <c r="K208" s="248"/>
      <c r="L208" s="248"/>
    </row>
    <row r="209" spans="3:15" outlineLevel="1" x14ac:dyDescent="0.45">
      <c r="C209" s="374"/>
      <c r="D209" s="209">
        <f>D210+1%</f>
        <v>0.04</v>
      </c>
      <c r="E209" s="346">
        <v>56101.598732749844</v>
      </c>
      <c r="F209" s="347">
        <v>63782.118548930892</v>
      </c>
      <c r="G209" s="347">
        <v>76512.118630802928</v>
      </c>
      <c r="H209" s="347">
        <v>96081.520352191743</v>
      </c>
      <c r="I209" s="248">
        <v>125410.59902654366</v>
      </c>
      <c r="J209" s="248"/>
      <c r="K209" s="248"/>
      <c r="L209" s="248"/>
    </row>
    <row r="210" spans="3:15" outlineLevel="1" x14ac:dyDescent="0.45">
      <c r="C210" s="375"/>
      <c r="D210" s="210">
        <v>0.03</v>
      </c>
      <c r="E210" s="346">
        <v>26955.51770409094</v>
      </c>
      <c r="F210" s="347">
        <v>33009.237654822129</v>
      </c>
      <c r="G210" s="347">
        <v>43065.768201741063</v>
      </c>
      <c r="H210" s="347">
        <v>58558.451595039209</v>
      </c>
      <c r="I210" s="248">
        <v>81816.413500412586</v>
      </c>
      <c r="J210" s="248"/>
      <c r="K210" s="248"/>
      <c r="L210" s="248"/>
    </row>
    <row r="211" spans="3:15" outlineLevel="1" x14ac:dyDescent="0.45"/>
    <row r="212" spans="3:15" outlineLevel="1" x14ac:dyDescent="0.45">
      <c r="C212" s="157" t="str">
        <f>Div_3&amp;" Sensitivity for Implied Enterprise Value - Year 1 Orbital Launch Growth Rate vs. Year 1 Revenue per Launch Growth Rate:"</f>
        <v>Space Sensitivity for Implied Enterprise Value - Year 1 Orbital Launch Growth Rate vs. Year 1 Revenue per Launch Growth Rate:</v>
      </c>
      <c r="D212" s="189"/>
      <c r="E212" s="189"/>
      <c r="F212" s="189"/>
    </row>
    <row r="213" spans="3:15" outlineLevel="1" x14ac:dyDescent="0.45">
      <c r="C213" s="189"/>
      <c r="D213" s="189"/>
      <c r="E213" s="189"/>
      <c r="F213" s="189"/>
    </row>
    <row r="214" spans="3:15" outlineLevel="1" x14ac:dyDescent="0.45">
      <c r="C214" s="203"/>
      <c r="D214" s="204"/>
      <c r="E214" s="205" t="s">
        <v>326</v>
      </c>
      <c r="F214" s="205"/>
      <c r="G214" s="206"/>
      <c r="H214" s="206"/>
      <c r="I214" s="206"/>
      <c r="J214" s="358"/>
      <c r="K214" s="358"/>
      <c r="L214" s="358"/>
    </row>
    <row r="215" spans="3:15" outlineLevel="1" x14ac:dyDescent="0.45">
      <c r="C215" s="207"/>
      <c r="D215" s="208">
        <f>SPC!$O$26</f>
        <v>104541.87926013143</v>
      </c>
      <c r="E215" s="209">
        <v>0.1</v>
      </c>
      <c r="F215" s="209">
        <f>E215+5%</f>
        <v>0.15000000000000002</v>
      </c>
      <c r="G215" s="210">
        <f t="shared" ref="G215:I215" si="53">F215+5%</f>
        <v>0.2</v>
      </c>
      <c r="H215" s="357">
        <f t="shared" si="53"/>
        <v>0.25</v>
      </c>
      <c r="I215" s="360">
        <f t="shared" si="53"/>
        <v>0.3</v>
      </c>
      <c r="J215" s="359"/>
      <c r="K215" s="359"/>
      <c r="L215" s="359"/>
    </row>
    <row r="216" spans="3:15" outlineLevel="1" x14ac:dyDescent="0.45">
      <c r="C216" s="373" t="s">
        <v>369</v>
      </c>
      <c r="D216" s="209">
        <f t="shared" ref="D216:D218" si="54">D217+1%</f>
        <v>0.11999999999999998</v>
      </c>
      <c r="E216" s="348">
        <f t="dataTable" ref="E216:I220" dt2D="1" dtr="1" r1="E92" r2="E99" ca="1"/>
        <v>51766.115328688698</v>
      </c>
      <c r="F216" s="349">
        <v>82935.265658297285</v>
      </c>
      <c r="G216" s="349">
        <v>129968.45172682666</v>
      </c>
      <c r="H216" s="350">
        <v>200103.89863600381</v>
      </c>
      <c r="I216" s="249">
        <v>303538.82021895447</v>
      </c>
      <c r="J216" s="249"/>
      <c r="K216" s="249"/>
      <c r="L216" s="249"/>
    </row>
    <row r="217" spans="3:15" outlineLevel="1" x14ac:dyDescent="0.45">
      <c r="C217" s="374"/>
      <c r="D217" s="209">
        <f t="shared" si="54"/>
        <v>0.10999999999999999</v>
      </c>
      <c r="E217" s="346">
        <v>46200.484383079325</v>
      </c>
      <c r="F217" s="347">
        <v>74301.34991710633</v>
      </c>
      <c r="G217" s="347">
        <v>116725.77198090659</v>
      </c>
      <c r="H217" s="347">
        <v>180013.82240792707</v>
      </c>
      <c r="I217" s="248">
        <v>273380.17874641164</v>
      </c>
      <c r="J217" s="248"/>
      <c r="K217" s="248"/>
      <c r="L217" s="248"/>
    </row>
    <row r="218" spans="3:15" outlineLevel="1" x14ac:dyDescent="0.45">
      <c r="C218" s="374"/>
      <c r="D218" s="209">
        <f t="shared" si="54"/>
        <v>9.9999999999999992E-2</v>
      </c>
      <c r="E218" s="346">
        <v>41075.511519056367</v>
      </c>
      <c r="F218" s="347">
        <v>66354.802357723514</v>
      </c>
      <c r="G218" s="347">
        <v>104541.87926013143</v>
      </c>
      <c r="H218" s="347">
        <v>161535.41997702856</v>
      </c>
      <c r="I218" s="248">
        <v>245647.51520547288</v>
      </c>
      <c r="J218" s="248"/>
      <c r="K218" s="248"/>
      <c r="L218" s="248"/>
    </row>
    <row r="219" spans="3:15" outlineLevel="1" x14ac:dyDescent="0.45">
      <c r="C219" s="374"/>
      <c r="D219" s="209">
        <f>D220+1%</f>
        <v>0.09</v>
      </c>
      <c r="E219" s="346">
        <v>36358.196410168312</v>
      </c>
      <c r="F219" s="347">
        <v>59044.026131068931</v>
      </c>
      <c r="G219" s="347">
        <v>93337.136003012914</v>
      </c>
      <c r="H219" s="347">
        <v>144547.25564252757</v>
      </c>
      <c r="I219" s="248">
        <v>220157.75818100336</v>
      </c>
      <c r="J219" s="248"/>
      <c r="K219" s="248"/>
      <c r="L219" s="248"/>
    </row>
    <row r="220" spans="3:15" outlineLevel="1" x14ac:dyDescent="0.45">
      <c r="C220" s="375"/>
      <c r="D220" s="210">
        <v>0.08</v>
      </c>
      <c r="E220" s="346">
        <v>32017.846624106118</v>
      </c>
      <c r="F220" s="347">
        <v>52321.038764850389</v>
      </c>
      <c r="G220" s="347">
        <v>83037.491376601902</v>
      </c>
      <c r="H220" s="347">
        <v>128936.42362617096</v>
      </c>
      <c r="I220" s="248">
        <v>196740.71040715688</v>
      </c>
      <c r="J220" s="248"/>
      <c r="K220" s="248"/>
      <c r="L220" s="248"/>
    </row>
    <row r="221" spans="3:15" outlineLevel="1" x14ac:dyDescent="0.45"/>
    <row r="222" spans="3:15" outlineLevel="1" x14ac:dyDescent="0.45">
      <c r="C222" s="157" t="str">
        <f>"Company Implied Equity Value - "&amp;Div_1&amp;" Initial Addressable Rural Households (Millions):"</f>
        <v>Company Implied Equity Value - Starlink Initial Addressable Rural Households (Millions):</v>
      </c>
      <c r="D222" s="189"/>
      <c r="E222" s="189"/>
    </row>
    <row r="223" spans="3:15" outlineLevel="1" x14ac:dyDescent="0.45">
      <c r="C223" s="189"/>
      <c r="D223" s="189"/>
      <c r="E223" s="189"/>
    </row>
    <row r="224" spans="3:15" outlineLevel="1" x14ac:dyDescent="0.45">
      <c r="C224" s="203"/>
      <c r="D224" s="204"/>
      <c r="E224" s="205" t="str">
        <f>E194</f>
        <v>Initial Addressable Rural Households (Millions):</v>
      </c>
      <c r="F224" s="205"/>
      <c r="G224" s="206"/>
      <c r="H224" s="206"/>
      <c r="I224" s="206"/>
      <c r="J224" s="358"/>
      <c r="K224" s="358"/>
      <c r="L224" s="358"/>
      <c r="M224" s="358"/>
      <c r="N224" s="358"/>
      <c r="O224" s="358"/>
    </row>
    <row r="225" spans="3:15" outlineLevel="1" x14ac:dyDescent="0.45">
      <c r="C225" s="207"/>
      <c r="D225" s="211"/>
      <c r="E225" s="353">
        <f>E195</f>
        <v>200</v>
      </c>
      <c r="F225" s="353">
        <f t="shared" ref="F225:I225" si="55">F195</f>
        <v>300</v>
      </c>
      <c r="G225" s="354">
        <f t="shared" si="55"/>
        <v>400</v>
      </c>
      <c r="H225" s="355">
        <f t="shared" si="55"/>
        <v>500</v>
      </c>
      <c r="I225" s="362">
        <f t="shared" si="55"/>
        <v>600</v>
      </c>
      <c r="J225" s="363"/>
      <c r="K225" s="363"/>
      <c r="L225" s="363"/>
      <c r="M225" s="363"/>
      <c r="N225" s="363"/>
      <c r="O225" s="363"/>
    </row>
    <row r="226" spans="3:15" outlineLevel="1" x14ac:dyDescent="0.45">
      <c r="C226" s="212"/>
      <c r="D226" s="213">
        <f>$E$129</f>
        <v>428995.04494639928</v>
      </c>
      <c r="E226" s="348">
        <f t="dataTable" ref="E226:I226" dt2D="0" dtr="1" r1="E23" ca="1"/>
        <v>359027.03962766676</v>
      </c>
      <c r="F226" s="349">
        <v>394011.3776837613</v>
      </c>
      <c r="G226" s="349">
        <v>428995.04494639928</v>
      </c>
      <c r="H226" s="349">
        <v>463978.0872553995</v>
      </c>
      <c r="I226" s="349">
        <v>498960.54638465052</v>
      </c>
      <c r="J226" s="364"/>
      <c r="K226" s="364"/>
      <c r="L226" s="364"/>
      <c r="M226" s="364"/>
      <c r="N226" s="364"/>
      <c r="O226" s="364"/>
    </row>
    <row r="227" spans="3:15" outlineLevel="1" x14ac:dyDescent="0.45"/>
    <row r="228" spans="3:15" outlineLevel="1" x14ac:dyDescent="0.45">
      <c r="C228" s="157" t="str">
        <f>"Company Implied Equity Value - "&amp;Div_1&amp;" Final Market Penetration:"</f>
        <v>Company Implied Equity Value - Starlink Final Market Penetration:</v>
      </c>
      <c r="D228" s="189"/>
      <c r="E228" s="189"/>
    </row>
    <row r="229" spans="3:15" outlineLevel="1" x14ac:dyDescent="0.45">
      <c r="C229" s="189"/>
      <c r="D229" s="189"/>
      <c r="E229" s="189"/>
    </row>
    <row r="230" spans="3:15" outlineLevel="1" x14ac:dyDescent="0.45">
      <c r="C230" s="203"/>
      <c r="D230" s="204"/>
      <c r="E230" s="205" t="str">
        <f>C196</f>
        <v>Final Market Penetration:</v>
      </c>
      <c r="F230" s="205"/>
      <c r="G230" s="206"/>
      <c r="H230" s="206"/>
      <c r="I230" s="206"/>
    </row>
    <row r="231" spans="3:15" outlineLevel="1" x14ac:dyDescent="0.45">
      <c r="C231" s="207"/>
      <c r="D231" s="211"/>
      <c r="E231" s="209" cm="1">
        <f t="array" ref="E231:I231">TRANSPOSE(_xlfn._xlws.SORT(D196:D200,1,1))</f>
        <v>0.1</v>
      </c>
      <c r="F231" s="209">
        <v>0.2</v>
      </c>
      <c r="G231" s="210">
        <v>0.30000000000000004</v>
      </c>
      <c r="H231" s="357">
        <v>0.4</v>
      </c>
      <c r="I231" s="360">
        <v>0.5</v>
      </c>
    </row>
    <row r="232" spans="3:15" outlineLevel="1" x14ac:dyDescent="0.45">
      <c r="C232" s="212"/>
      <c r="D232" s="213">
        <f>$E$129</f>
        <v>428995.04494639928</v>
      </c>
      <c r="E232" s="348">
        <f t="dataTable" ref="E232:I232" dt2D="0" dtr="1" r1="E25" ca="1"/>
        <v>335703.75023868668</v>
      </c>
      <c r="F232" s="349">
        <v>382350.00858778122</v>
      </c>
      <c r="G232" s="349">
        <v>428995.04494639928</v>
      </c>
      <c r="H232" s="349">
        <v>475638.96980837651</v>
      </c>
      <c r="I232" s="349">
        <v>522281.88079069182</v>
      </c>
    </row>
    <row r="233" spans="3:15" outlineLevel="1" x14ac:dyDescent="0.45"/>
    <row r="234" spans="3:15" outlineLevel="1" x14ac:dyDescent="0.45">
      <c r="C234" s="157" t="str">
        <f>"Company Implied Equity Value - "&amp;" AI Revenue per Used MW Initial Growth Rate:"</f>
        <v>Company Implied Equity Value -  AI Revenue per Used MW Initial Growth Rate:</v>
      </c>
      <c r="D234" s="189"/>
      <c r="E234" s="189"/>
    </row>
    <row r="235" spans="3:15" outlineLevel="1" x14ac:dyDescent="0.45">
      <c r="C235" s="189"/>
      <c r="D235" s="189"/>
      <c r="E235" s="189"/>
    </row>
    <row r="236" spans="3:15" outlineLevel="1" x14ac:dyDescent="0.45">
      <c r="C236" s="203"/>
      <c r="D236" s="204"/>
      <c r="E236" s="205" t="str">
        <f>E204</f>
        <v>AI Revenue per Used MW - Initial Growth Rate:</v>
      </c>
      <c r="F236" s="205"/>
      <c r="G236" s="206"/>
      <c r="H236" s="206"/>
      <c r="I236" s="206"/>
    </row>
    <row r="237" spans="3:15" outlineLevel="1" x14ac:dyDescent="0.45">
      <c r="C237" s="207"/>
      <c r="D237" s="211"/>
      <c r="E237" s="209">
        <f>E205</f>
        <v>0.1</v>
      </c>
      <c r="F237" s="209">
        <f t="shared" ref="F237:I237" si="56">F205</f>
        <v>0.15000000000000002</v>
      </c>
      <c r="G237" s="210">
        <f t="shared" si="56"/>
        <v>0.2</v>
      </c>
      <c r="H237" s="357">
        <f t="shared" si="56"/>
        <v>0.25</v>
      </c>
      <c r="I237" s="360">
        <f t="shared" si="56"/>
        <v>0.3</v>
      </c>
    </row>
    <row r="238" spans="3:15" outlineLevel="1" x14ac:dyDescent="0.45">
      <c r="C238" s="212"/>
      <c r="D238" s="213">
        <f>$E$129</f>
        <v>428995.04494639928</v>
      </c>
      <c r="E238" s="348">
        <f t="dataTable" ref="E238:I238" dt2D="0" dtr="1" r1="E73" ca="1"/>
        <v>404423.7274820648</v>
      </c>
      <c r="F238" s="349">
        <v>413678.38655068551</v>
      </c>
      <c r="G238" s="349">
        <v>428995.04494639928</v>
      </c>
      <c r="H238" s="349">
        <v>452508.24109730852</v>
      </c>
      <c r="I238" s="349">
        <v>487709.40532520134</v>
      </c>
    </row>
    <row r="239" spans="3:15" outlineLevel="1" x14ac:dyDescent="0.45"/>
    <row r="240" spans="3:15" outlineLevel="1" x14ac:dyDescent="0.45">
      <c r="C240" s="157" t="str">
        <f>"Company Implied Equity Value - "&amp;" AI Data Center Final Market Share:"</f>
        <v>Company Implied Equity Value -  AI Data Center Final Market Share:</v>
      </c>
      <c r="D240" s="189"/>
      <c r="E240" s="189"/>
    </row>
    <row r="241" spans="3:9" outlineLevel="1" x14ac:dyDescent="0.45">
      <c r="C241" s="189"/>
      <c r="D241" s="189"/>
      <c r="E241" s="189"/>
    </row>
    <row r="242" spans="3:9" outlineLevel="1" x14ac:dyDescent="0.45">
      <c r="C242" s="203"/>
      <c r="D242" s="204"/>
      <c r="E242" s="205" t="str">
        <f>C206</f>
        <v>Final Market Share:</v>
      </c>
      <c r="F242" s="205"/>
      <c r="G242" s="206"/>
      <c r="H242" s="206"/>
      <c r="I242" s="206"/>
    </row>
    <row r="243" spans="3:9" outlineLevel="1" x14ac:dyDescent="0.45">
      <c r="C243" s="207"/>
      <c r="D243" s="211"/>
      <c r="E243" s="209" cm="1">
        <f t="array" ref="E243:I243">TRANSPOSE(_xlfn._xlws.SORT(D206:D210,1,1))</f>
        <v>0.03</v>
      </c>
      <c r="F243" s="209">
        <v>0.04</v>
      </c>
      <c r="G243" s="210">
        <v>0.05</v>
      </c>
      <c r="H243" s="357">
        <v>6.0000000000000005E-2</v>
      </c>
      <c r="I243" s="360">
        <v>7.0000000000000007E-2</v>
      </c>
    </row>
    <row r="244" spans="3:9" outlineLevel="1" x14ac:dyDescent="0.45">
      <c r="C244" s="212"/>
      <c r="D244" s="213">
        <f>$E$129</f>
        <v>428995.04494639928</v>
      </c>
      <c r="E244" s="348">
        <f t="dataTable" ref="E244:I244" dt2D="0" dtr="1" r1="E63" ca="1"/>
        <v>362638.74557440623</v>
      </c>
      <c r="F244" s="349">
        <v>395819.23594673141</v>
      </c>
      <c r="G244" s="349">
        <v>428995.04494639928</v>
      </c>
      <c r="H244" s="349">
        <v>462167.50139527034</v>
      </c>
      <c r="I244" s="349">
        <v>495337.47505846154</v>
      </c>
    </row>
    <row r="245" spans="3:9" outlineLevel="1" x14ac:dyDescent="0.45"/>
    <row r="246" spans="3:9" outlineLevel="1" x14ac:dyDescent="0.45">
      <c r="C246" s="157" t="str">
        <f>"Company Implied Equity Value - "&amp;" Year 1 Orbital Launch Growth Rate:"</f>
        <v>Company Implied Equity Value -  Year 1 Orbital Launch Growth Rate:</v>
      </c>
      <c r="D246" s="189"/>
      <c r="E246" s="189"/>
    </row>
    <row r="247" spans="3:9" outlineLevel="1" x14ac:dyDescent="0.45">
      <c r="C247" s="189"/>
      <c r="D247" s="189"/>
      <c r="E247" s="189"/>
    </row>
    <row r="248" spans="3:9" outlineLevel="1" x14ac:dyDescent="0.45">
      <c r="C248" s="203"/>
      <c r="D248" s="204"/>
      <c r="E248" s="205" t="str">
        <f>E214</f>
        <v>Year 1 Orbital Launch Growth Rate:</v>
      </c>
      <c r="F248" s="205"/>
      <c r="G248" s="206"/>
      <c r="H248" s="206"/>
      <c r="I248" s="206"/>
    </row>
    <row r="249" spans="3:9" outlineLevel="1" x14ac:dyDescent="0.45">
      <c r="C249" s="207"/>
      <c r="D249" s="211"/>
      <c r="E249" s="209">
        <f>E215</f>
        <v>0.1</v>
      </c>
      <c r="F249" s="209">
        <f t="shared" ref="F249:I249" si="57">F215</f>
        <v>0.15000000000000002</v>
      </c>
      <c r="G249" s="210">
        <f t="shared" si="57"/>
        <v>0.2</v>
      </c>
      <c r="H249" s="357">
        <f t="shared" si="57"/>
        <v>0.25</v>
      </c>
      <c r="I249" s="360">
        <f t="shared" si="57"/>
        <v>0.3</v>
      </c>
    </row>
    <row r="250" spans="3:9" outlineLevel="1" x14ac:dyDescent="0.45">
      <c r="C250" s="212"/>
      <c r="D250" s="213">
        <f>$E$129</f>
        <v>428995.04494639928</v>
      </c>
      <c r="E250" s="348">
        <f t="dataTable" ref="E250:I250" dt2D="0" dtr="1" r1="E92" ca="1"/>
        <v>366512.77813726896</v>
      </c>
      <c r="F250" s="349">
        <v>391402.57609039033</v>
      </c>
      <c r="G250" s="349">
        <v>428995.04494639928</v>
      </c>
      <c r="H250" s="349">
        <v>485091.25387607928</v>
      </c>
      <c r="I250" s="349">
        <v>567864.72138627979</v>
      </c>
    </row>
    <row r="251" spans="3:9" outlineLevel="1" x14ac:dyDescent="0.45"/>
    <row r="252" spans="3:9" outlineLevel="1" x14ac:dyDescent="0.45">
      <c r="C252" s="157" t="str">
        <f>"Company Implied Equity Value - "&amp;" Year 1 Revenue per Launch Growth Rate:"</f>
        <v>Company Implied Equity Value -  Year 1 Revenue per Launch Growth Rate:</v>
      </c>
      <c r="D252" s="189"/>
      <c r="E252" s="189"/>
    </row>
    <row r="253" spans="3:9" outlineLevel="1" x14ac:dyDescent="0.45">
      <c r="C253" s="189"/>
      <c r="D253" s="189"/>
      <c r="E253" s="189"/>
    </row>
    <row r="254" spans="3:9" outlineLevel="1" x14ac:dyDescent="0.45">
      <c r="C254" s="203"/>
      <c r="D254" s="204"/>
      <c r="E254" s="205" t="str">
        <f>C216</f>
        <v>Year 1 Revenue per Launch Growth Rate:</v>
      </c>
      <c r="F254" s="205"/>
      <c r="G254" s="206"/>
      <c r="H254" s="206"/>
      <c r="I254" s="206"/>
    </row>
    <row r="255" spans="3:9" outlineLevel="1" x14ac:dyDescent="0.45">
      <c r="C255" s="207"/>
      <c r="D255" s="211"/>
      <c r="E255" s="209" cm="1">
        <f t="array" ref="E255:I255">TRANSPOSE(_xlfn._xlws.SORT(D216:D220,1,1))</f>
        <v>0.08</v>
      </c>
      <c r="F255" s="209">
        <v>0.09</v>
      </c>
      <c r="G255" s="210">
        <v>9.9999999999999992E-2</v>
      </c>
      <c r="H255" s="357">
        <v>0.10999999999999999</v>
      </c>
      <c r="I255" s="360">
        <v>0.11999999999999998</v>
      </c>
    </row>
    <row r="256" spans="3:9" outlineLevel="1" x14ac:dyDescent="0.45">
      <c r="C256" s="212"/>
      <c r="D256" s="213">
        <f>$E$129</f>
        <v>428995.04494639928</v>
      </c>
      <c r="E256" s="348">
        <f t="dataTable" ref="E256:I256" dt2D="0" dtr="1" r1="E99" ca="1"/>
        <v>407775.37687555439</v>
      </c>
      <c r="F256" s="349">
        <v>417938.9560665926</v>
      </c>
      <c r="G256" s="349">
        <v>428995.04494639928</v>
      </c>
      <c r="H256" s="349">
        <v>441016.6157729759</v>
      </c>
      <c r="I256" s="349">
        <v>454082.14361460123</v>
      </c>
    </row>
  </sheetData>
  <mergeCells count="6">
    <mergeCell ref="C216:C220"/>
    <mergeCell ref="C196:C200"/>
    <mergeCell ref="C206:C210"/>
    <mergeCell ref="G41:G45"/>
    <mergeCell ref="G79:G83"/>
    <mergeCell ref="G110:G114"/>
  </mergeCells>
  <dataValidations count="1">
    <dataValidation type="list" allowBlank="1" showInputMessage="1" showErrorMessage="1" sqref="K15" xr:uid="{00000000-0002-0000-0000-000000000000}">
      <formula1>$C$26:$C$28</formula1>
    </dataValidation>
  </dataValidations>
  <pageMargins left="0.7" right="0.7" top="0.75" bottom="0.75" header="0.3" footer="0.3"/>
  <pageSetup scale="44" orientation="portrait" horizontalDpi="1200" verticalDpi="1200" r:id="rId1"/>
  <rowBreaks count="3" manualBreakCount="3">
    <brk id="50" max="27" man="1"/>
    <brk id="115" max="27" man="1"/>
    <brk id="189" max="27" man="1"/>
  </rowBreaks>
  <colBreaks count="1" manualBreakCount="1">
    <brk id="14" max="256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7EE12B-B2E6-4E0F-A0A3-437B665843B3}">
  <sheetPr>
    <pageSetUpPr autoPageBreaks="0"/>
  </sheetPr>
  <dimension ref="B2:AD145"/>
  <sheetViews>
    <sheetView showGridLines="0" zoomScale="106" zoomScaleNormal="100" workbookViewId="0">
      <selection activeCell="B2" sqref="B2"/>
    </sheetView>
  </sheetViews>
  <sheetFormatPr defaultColWidth="9.07421875" defaultRowHeight="15.9" x14ac:dyDescent="0.45"/>
  <cols>
    <col min="1" max="1" width="2.69140625" style="308" customWidth="1"/>
    <col min="2" max="2" width="16.53515625" style="308" bestFit="1" customWidth="1"/>
    <col min="3" max="23" width="12.69140625" style="308" customWidth="1"/>
    <col min="24" max="25" width="11.53515625" style="308" customWidth="1"/>
    <col min="26" max="34" width="12.69140625" style="308" customWidth="1"/>
    <col min="35" max="16384" width="9.07421875" style="308"/>
  </cols>
  <sheetData>
    <row r="2" spans="2:7" x14ac:dyDescent="0.45">
      <c r="B2" s="307" t="s">
        <v>379</v>
      </c>
    </row>
    <row r="4" spans="2:7" x14ac:dyDescent="0.45">
      <c r="B4" s="172"/>
      <c r="C4" s="172"/>
      <c r="D4" s="172"/>
      <c r="E4" s="172"/>
      <c r="F4" s="172" t="s">
        <v>380</v>
      </c>
    </row>
    <row r="5" spans="2:7" x14ac:dyDescent="0.45">
      <c r="B5" s="116"/>
      <c r="C5" s="116"/>
      <c r="D5" s="116"/>
      <c r="E5" s="116"/>
      <c r="F5" s="116"/>
    </row>
    <row r="6" spans="2:7" x14ac:dyDescent="0.45">
      <c r="B6" s="116" t="str">
        <f>Div_1</f>
        <v>Starlink</v>
      </c>
      <c r="C6" s="116"/>
      <c r="D6" s="116"/>
      <c r="E6" s="116"/>
      <c r="F6" s="186">
        <f>Control!E119</f>
        <v>231145.66374412453</v>
      </c>
    </row>
    <row r="7" spans="2:7" x14ac:dyDescent="0.45">
      <c r="B7" s="116" t="str">
        <f>Div_2</f>
        <v>AI</v>
      </c>
      <c r="C7" s="116"/>
      <c r="D7" s="116"/>
      <c r="E7" s="116"/>
      <c r="F7" s="174">
        <f>Control!E120</f>
        <v>109958.46905986435</v>
      </c>
    </row>
    <row r="8" spans="2:7" x14ac:dyDescent="0.45">
      <c r="B8" s="116" t="str">
        <f>Div_3</f>
        <v>Space</v>
      </c>
      <c r="C8" s="116"/>
      <c r="D8" s="116"/>
      <c r="E8" s="116"/>
      <c r="F8" s="174">
        <f>Control!E121</f>
        <v>104541.87926013143</v>
      </c>
    </row>
    <row r="9" spans="2:7" x14ac:dyDescent="0.45">
      <c r="B9" s="116" t="s">
        <v>401</v>
      </c>
      <c r="C9" s="116"/>
      <c r="D9" s="116"/>
      <c r="E9" s="116"/>
      <c r="F9" s="174">
        <f>Control!E122</f>
        <v>-5497.2894902946809</v>
      </c>
    </row>
    <row r="10" spans="2:7" x14ac:dyDescent="0.45">
      <c r="B10" s="116" t="s">
        <v>402</v>
      </c>
      <c r="C10" s="116"/>
      <c r="D10" s="116"/>
      <c r="E10" s="116"/>
      <c r="F10" s="174">
        <f>Control!E123</f>
        <v>1374.3223725736682</v>
      </c>
      <c r="G10" s="343"/>
    </row>
    <row r="11" spans="2:7" x14ac:dyDescent="0.45">
      <c r="B11" s="116" t="s">
        <v>381</v>
      </c>
      <c r="C11" s="116"/>
      <c r="D11" s="116"/>
      <c r="E11" s="116"/>
      <c r="F11" s="283">
        <f>SUM(Control!E125:E128)</f>
        <v>-12528</v>
      </c>
      <c r="G11" s="343"/>
    </row>
    <row r="12" spans="2:7" x14ac:dyDescent="0.45">
      <c r="B12" s="157" t="s">
        <v>400</v>
      </c>
      <c r="C12" s="157"/>
      <c r="D12" s="116"/>
      <c r="E12" s="116"/>
      <c r="F12" s="342">
        <f>Control!E129</f>
        <v>428995.04494639928</v>
      </c>
    </row>
    <row r="15" spans="2:7" x14ac:dyDescent="0.45">
      <c r="B15" s="307" t="str">
        <f>Company_Name&amp;" - Implied Equity Values Across Cases ($ in Millions)"</f>
        <v>SpaceX Inc. - Implied Equity Values Across Cases ($ in Millions)</v>
      </c>
    </row>
    <row r="16" spans="2:7" x14ac:dyDescent="0.45">
      <c r="B16" s="322" t="str">
        <f>Control!$C$28</f>
        <v>Realistic</v>
      </c>
      <c r="F16" s="220">
        <f>Control!I41+Control!I79+Control!I110</f>
        <v>181243.44085723162</v>
      </c>
    </row>
    <row r="17" spans="2:6" x14ac:dyDescent="0.45">
      <c r="B17" s="322" t="str">
        <f>Control!$C$27</f>
        <v>Optimistic</v>
      </c>
      <c r="F17" s="283">
        <f>Control!J43+Control!J81+Control!J112</f>
        <v>449535.91752346978</v>
      </c>
    </row>
    <row r="18" spans="2:6" x14ac:dyDescent="0.45">
      <c r="B18" s="322" t="str">
        <f>Control!$C$26</f>
        <v>Elon</v>
      </c>
      <c r="F18" s="283">
        <f>Control!K45+Control!K83+Control!K114</f>
        <v>1101614.3043782562</v>
      </c>
    </row>
    <row r="20" spans="2:6" x14ac:dyDescent="0.45">
      <c r="B20" s="322" t="s">
        <v>410</v>
      </c>
      <c r="F20" s="324">
        <f>SUM(Control!$E$122:$E$123)+SUM(Control!$E$125:$E$128)</f>
        <v>-16650.967117721011</v>
      </c>
    </row>
    <row r="22" spans="2:6" x14ac:dyDescent="0.45">
      <c r="B22" s="322" t="str">
        <f>Control!$C$28</f>
        <v>Realistic</v>
      </c>
      <c r="F22" s="324">
        <f>F16+$F$20</f>
        <v>164592.47373951061</v>
      </c>
    </row>
    <row r="23" spans="2:6" x14ac:dyDescent="0.45">
      <c r="B23" s="322" t="str">
        <f>Control!$C$27</f>
        <v>Optimistic</v>
      </c>
      <c r="F23" s="283">
        <f t="shared" ref="F23:F24" si="0">F17+$F$20</f>
        <v>432884.95040574879</v>
      </c>
    </row>
    <row r="24" spans="2:6" x14ac:dyDescent="0.45">
      <c r="B24" s="322" t="str">
        <f>Control!$C$26</f>
        <v>Elon</v>
      </c>
      <c r="F24" s="283">
        <f t="shared" si="0"/>
        <v>1084963.3372605352</v>
      </c>
    </row>
    <row r="25" spans="2:6" x14ac:dyDescent="0.45">
      <c r="B25" s="322" t="s">
        <v>406</v>
      </c>
      <c r="F25" s="337">
        <v>2000000</v>
      </c>
    </row>
    <row r="35" spans="2:16" x14ac:dyDescent="0.45">
      <c r="B35" s="307" t="str">
        <f>"DCF Sensitivity Analysis ("&amp;Scenario&amp;" Case)"</f>
        <v>DCF Sensitivity Analysis (Optimistic Case)</v>
      </c>
    </row>
    <row r="36" spans="2:16" x14ac:dyDescent="0.45">
      <c r="B36" s="309"/>
      <c r="C36" s="309"/>
      <c r="D36" s="309"/>
      <c r="E36" s="309"/>
      <c r="F36" s="309"/>
      <c r="G36" s="309"/>
      <c r="H36" s="309"/>
      <c r="I36" s="309"/>
      <c r="J36" s="309"/>
      <c r="K36" s="309"/>
      <c r="L36" s="309"/>
      <c r="M36" s="309"/>
      <c r="N36" s="309" t="s">
        <v>382</v>
      </c>
      <c r="O36" s="309" t="s">
        <v>383</v>
      </c>
      <c r="P36" s="309" t="s">
        <v>384</v>
      </c>
    </row>
    <row r="37" spans="2:16" x14ac:dyDescent="0.45">
      <c r="B37" s="309"/>
      <c r="C37" s="309"/>
      <c r="D37" s="309"/>
      <c r="E37" s="309"/>
      <c r="F37" s="309"/>
      <c r="G37" s="309"/>
      <c r="H37" s="309"/>
      <c r="I37" s="309"/>
      <c r="J37" s="309"/>
      <c r="K37" s="309"/>
      <c r="L37" s="309"/>
      <c r="M37" s="309"/>
      <c r="N37" s="309"/>
      <c r="O37" s="309"/>
      <c r="P37" s="309"/>
    </row>
    <row r="38" spans="2:16" x14ac:dyDescent="0.45">
      <c r="B38" s="310" t="str">
        <f>Control!$C$222</f>
        <v>Company Implied Equity Value - Starlink Initial Addressable Rural Households (Millions):</v>
      </c>
      <c r="C38" s="309"/>
      <c r="D38" s="309"/>
      <c r="E38" s="309"/>
      <c r="F38" s="309"/>
      <c r="G38" s="309"/>
      <c r="H38" s="309"/>
      <c r="I38" s="365">
        <f>Control!E226</f>
        <v>359027.03962766676</v>
      </c>
      <c r="J38" s="365">
        <f>Control!F226</f>
        <v>394011.3776837613</v>
      </c>
      <c r="K38" s="365">
        <f>Control!G226</f>
        <v>428995.04494639928</v>
      </c>
      <c r="L38" s="365">
        <f>Control!H226</f>
        <v>463978.0872553995</v>
      </c>
      <c r="M38" s="365">
        <f>Control!I226</f>
        <v>498960.54638465052</v>
      </c>
      <c r="N38" s="366">
        <f>I38</f>
        <v>359027.03962766676</v>
      </c>
      <c r="O38" s="311">
        <v>0.01</v>
      </c>
      <c r="P38" s="366">
        <f>M38-O38-N38</f>
        <v>139933.49675698375</v>
      </c>
    </row>
    <row r="39" spans="2:16" x14ac:dyDescent="0.45">
      <c r="B39" s="310" t="str">
        <f>Control!C228</f>
        <v>Company Implied Equity Value - Starlink Final Market Penetration:</v>
      </c>
      <c r="C39" s="309"/>
      <c r="D39" s="309"/>
      <c r="E39" s="309"/>
      <c r="F39" s="309"/>
      <c r="G39" s="309"/>
      <c r="H39" s="309"/>
      <c r="I39" s="367">
        <f>Control!E232</f>
        <v>335703.75023868668</v>
      </c>
      <c r="J39" s="367">
        <f>Control!F232</f>
        <v>382350.00858778122</v>
      </c>
      <c r="K39" s="367">
        <f>Control!G232</f>
        <v>428995.04494639928</v>
      </c>
      <c r="L39" s="367">
        <f>Control!H232</f>
        <v>475638.96980837651</v>
      </c>
      <c r="M39" s="367">
        <f>Control!I232</f>
        <v>522281.88079069182</v>
      </c>
      <c r="N39" s="368">
        <f t="shared" ref="N39:N43" si="1">I39</f>
        <v>335703.75023868668</v>
      </c>
      <c r="O39" s="311">
        <v>0.01</v>
      </c>
      <c r="P39" s="368">
        <f t="shared" ref="P39:P43" si="2">M39-O39-N39</f>
        <v>186578.12055200513</v>
      </c>
    </row>
    <row r="40" spans="2:16" x14ac:dyDescent="0.45">
      <c r="B40" s="310" t="str">
        <f>Control!C234</f>
        <v>Company Implied Equity Value -  AI Revenue per Used MW Initial Growth Rate:</v>
      </c>
      <c r="C40" s="309"/>
      <c r="D40" s="309"/>
      <c r="E40" s="309"/>
      <c r="F40" s="309"/>
      <c r="G40" s="309"/>
      <c r="H40" s="309"/>
      <c r="I40" s="367">
        <f>Control!E238</f>
        <v>404423.7274820648</v>
      </c>
      <c r="J40" s="367">
        <f>Control!F238</f>
        <v>413678.38655068551</v>
      </c>
      <c r="K40" s="367">
        <f>Control!G238</f>
        <v>428995.04494639928</v>
      </c>
      <c r="L40" s="367">
        <f>Control!H238</f>
        <v>452508.24109730852</v>
      </c>
      <c r="M40" s="367">
        <f>Control!I238</f>
        <v>487709.40532520134</v>
      </c>
      <c r="N40" s="368">
        <f t="shared" si="1"/>
        <v>404423.7274820648</v>
      </c>
      <c r="O40" s="311">
        <v>0.01</v>
      </c>
      <c r="P40" s="368">
        <f t="shared" si="2"/>
        <v>83285.667843136529</v>
      </c>
    </row>
    <row r="41" spans="2:16" x14ac:dyDescent="0.45">
      <c r="B41" s="310" t="str">
        <f>Control!C240</f>
        <v>Company Implied Equity Value -  AI Data Center Final Market Share:</v>
      </c>
      <c r="C41" s="309"/>
      <c r="D41" s="309"/>
      <c r="E41" s="309"/>
      <c r="F41" s="309"/>
      <c r="G41" s="309"/>
      <c r="H41" s="309"/>
      <c r="I41" s="367">
        <f>Control!E244</f>
        <v>362638.74557440623</v>
      </c>
      <c r="J41" s="367">
        <f>Control!F244</f>
        <v>395819.23594673141</v>
      </c>
      <c r="K41" s="367">
        <f>Control!G244</f>
        <v>428995.04494639928</v>
      </c>
      <c r="L41" s="367">
        <f>Control!H244</f>
        <v>462167.50139527034</v>
      </c>
      <c r="M41" s="367">
        <f>Control!I244</f>
        <v>495337.47505846154</v>
      </c>
      <c r="N41" s="368">
        <f t="shared" ref="N41" si="3">I41</f>
        <v>362638.74557440623</v>
      </c>
      <c r="O41" s="311">
        <v>0.01</v>
      </c>
      <c r="P41" s="368">
        <f t="shared" ref="P41" si="4">M41-O41-N41</f>
        <v>132698.7194840553</v>
      </c>
    </row>
    <row r="42" spans="2:16" x14ac:dyDescent="0.45">
      <c r="B42" s="310" t="str">
        <f>Control!C246</f>
        <v>Company Implied Equity Value -  Year 1 Orbital Launch Growth Rate:</v>
      </c>
      <c r="C42" s="309"/>
      <c r="D42" s="309"/>
      <c r="E42" s="309"/>
      <c r="F42" s="309"/>
      <c r="G42" s="309"/>
      <c r="H42" s="309"/>
      <c r="I42" s="367">
        <f>Control!E250</f>
        <v>366512.77813726896</v>
      </c>
      <c r="J42" s="367">
        <f>Control!F250</f>
        <v>391402.57609039033</v>
      </c>
      <c r="K42" s="367">
        <f>Control!G250</f>
        <v>428995.04494639928</v>
      </c>
      <c r="L42" s="367">
        <f>Control!H250</f>
        <v>485091.25387607928</v>
      </c>
      <c r="M42" s="367">
        <f>Control!I250</f>
        <v>567864.72138627979</v>
      </c>
      <c r="N42" s="368">
        <f t="shared" si="1"/>
        <v>366512.77813726896</v>
      </c>
      <c r="O42" s="311">
        <v>0.01</v>
      </c>
      <c r="P42" s="368">
        <f t="shared" si="2"/>
        <v>201351.93324901082</v>
      </c>
    </row>
    <row r="43" spans="2:16" x14ac:dyDescent="0.45">
      <c r="B43" s="310" t="str">
        <f>Control!C252</f>
        <v>Company Implied Equity Value -  Year 1 Revenue per Launch Growth Rate:</v>
      </c>
      <c r="C43" s="309"/>
      <c r="D43" s="309"/>
      <c r="E43" s="309"/>
      <c r="F43" s="309"/>
      <c r="G43" s="309"/>
      <c r="H43" s="309"/>
      <c r="I43" s="367">
        <f>Control!E256</f>
        <v>407775.37687555439</v>
      </c>
      <c r="J43" s="367">
        <f>Control!F256</f>
        <v>417938.9560665926</v>
      </c>
      <c r="K43" s="367">
        <f>Control!G256</f>
        <v>428995.04494639928</v>
      </c>
      <c r="L43" s="367">
        <f>Control!H256</f>
        <v>441016.6157729759</v>
      </c>
      <c r="M43" s="367">
        <f>Control!I256</f>
        <v>454082.14361460123</v>
      </c>
      <c r="N43" s="368">
        <f t="shared" si="1"/>
        <v>407775.37687555439</v>
      </c>
      <c r="O43" s="311">
        <v>0.01</v>
      </c>
      <c r="P43" s="368">
        <f t="shared" si="2"/>
        <v>46306.756739046832</v>
      </c>
    </row>
    <row r="44" spans="2:16" x14ac:dyDescent="0.45">
      <c r="B44" s="309" t="s">
        <v>418</v>
      </c>
      <c r="C44" s="309"/>
      <c r="D44" s="309"/>
      <c r="E44" s="309"/>
      <c r="F44" s="309"/>
      <c r="G44" s="309"/>
      <c r="H44" s="309"/>
      <c r="I44" s="369">
        <f>Control!$E$129</f>
        <v>428995.04494639928</v>
      </c>
      <c r="J44" s="369">
        <f>Control!$E$129</f>
        <v>428995.04494639928</v>
      </c>
      <c r="K44" s="369">
        <f>Control!$E$129</f>
        <v>428995.04494639928</v>
      </c>
      <c r="L44" s="369">
        <f>Control!$E$129</f>
        <v>428995.04494639928</v>
      </c>
      <c r="M44" s="369">
        <f>Control!$E$129</f>
        <v>428995.04494639928</v>
      </c>
      <c r="N44" s="370">
        <v>1000</v>
      </c>
      <c r="O44" s="311">
        <v>0</v>
      </c>
      <c r="P44" s="309">
        <f>O44</f>
        <v>0</v>
      </c>
    </row>
    <row r="75" spans="2:30" x14ac:dyDescent="0.45">
      <c r="B75" s="307" t="str">
        <f>"Revenue by Segment ("&amp;Scenario&amp;" Case)"</f>
        <v>Revenue by Segment (Optimistic Case)</v>
      </c>
      <c r="P75" s="312"/>
      <c r="Q75" s="313"/>
      <c r="R75" s="314"/>
      <c r="V75" s="312"/>
      <c r="W75" s="313"/>
      <c r="X75" s="314"/>
      <c r="Y75" s="315"/>
      <c r="Z75" s="315"/>
      <c r="AA75" s="315"/>
      <c r="AB75" s="315"/>
      <c r="AD75" s="316"/>
    </row>
    <row r="76" spans="2:30" x14ac:dyDescent="0.45">
      <c r="P76" s="312"/>
      <c r="Q76" s="313"/>
      <c r="R76" s="314"/>
      <c r="V76" s="312"/>
      <c r="W76" s="313"/>
      <c r="X76" s="314"/>
      <c r="Y76" s="315"/>
      <c r="Z76" s="315"/>
      <c r="AA76" s="315"/>
      <c r="AB76" s="315"/>
      <c r="AD76" s="316"/>
    </row>
    <row r="77" spans="2:30" x14ac:dyDescent="0.45">
      <c r="P77" s="312"/>
      <c r="Q77" s="313"/>
      <c r="R77" s="314"/>
      <c r="V77" s="312"/>
      <c r="W77" s="313"/>
      <c r="X77" s="314"/>
      <c r="Y77" s="315"/>
      <c r="Z77" s="315"/>
      <c r="AA77" s="315"/>
      <c r="AB77" s="315"/>
      <c r="AD77" s="316"/>
    </row>
    <row r="78" spans="2:30" x14ac:dyDescent="0.45">
      <c r="P78" s="312"/>
      <c r="Q78" s="313"/>
      <c r="R78" s="314"/>
      <c r="V78" s="312"/>
      <c r="W78" s="313"/>
      <c r="X78" s="314"/>
      <c r="Y78" s="315"/>
      <c r="Z78" s="315"/>
      <c r="AA78" s="315"/>
      <c r="AB78" s="315"/>
      <c r="AD78" s="316"/>
    </row>
    <row r="79" spans="2:30" x14ac:dyDescent="0.45">
      <c r="P79" s="312"/>
      <c r="Q79" s="313"/>
      <c r="R79" s="314"/>
      <c r="V79" s="312"/>
      <c r="W79" s="313"/>
      <c r="X79" s="314"/>
      <c r="Y79" s="315"/>
      <c r="Z79" s="315"/>
      <c r="AA79" s="315"/>
      <c r="AB79" s="315"/>
      <c r="AD79" s="316"/>
    </row>
    <row r="80" spans="2:30" x14ac:dyDescent="0.45">
      <c r="P80" s="312"/>
      <c r="Q80" s="313"/>
      <c r="R80" s="314"/>
      <c r="V80" s="312"/>
      <c r="W80" s="313"/>
      <c r="X80" s="314"/>
      <c r="Y80" s="315"/>
      <c r="Z80" s="315"/>
      <c r="AA80" s="315"/>
      <c r="AB80" s="315"/>
      <c r="AD80" s="316"/>
    </row>
    <row r="81" spans="2:30" x14ac:dyDescent="0.45">
      <c r="P81" s="312"/>
      <c r="Q81" s="313"/>
      <c r="R81" s="314"/>
      <c r="V81" s="312"/>
      <c r="W81" s="313"/>
      <c r="X81" s="314"/>
      <c r="Y81" s="315"/>
      <c r="Z81" s="315"/>
      <c r="AA81" s="315"/>
      <c r="AB81" s="315"/>
      <c r="AD81" s="316"/>
    </row>
    <row r="82" spans="2:30" x14ac:dyDescent="0.45">
      <c r="P82" s="312"/>
      <c r="Q82" s="313"/>
      <c r="R82" s="314"/>
      <c r="V82" s="312"/>
      <c r="W82" s="313"/>
      <c r="X82" s="314"/>
      <c r="Y82" s="315"/>
      <c r="Z82" s="315"/>
      <c r="AA82" s="315"/>
      <c r="AB82" s="315"/>
      <c r="AD82" s="316"/>
    </row>
    <row r="83" spans="2:30" x14ac:dyDescent="0.45">
      <c r="P83" s="312"/>
      <c r="Q83" s="313"/>
      <c r="R83" s="314"/>
      <c r="V83" s="312"/>
      <c r="W83" s="313"/>
      <c r="X83" s="314"/>
      <c r="Y83" s="315"/>
      <c r="Z83" s="315"/>
      <c r="AA83" s="315"/>
      <c r="AB83" s="315"/>
      <c r="AD83" s="316"/>
    </row>
    <row r="84" spans="2:30" x14ac:dyDescent="0.45">
      <c r="B84" s="317"/>
      <c r="P84" s="312"/>
      <c r="Q84" s="313"/>
      <c r="R84" s="314"/>
      <c r="V84" s="312"/>
      <c r="W84" s="313"/>
      <c r="X84" s="314"/>
      <c r="Y84" s="315"/>
      <c r="Z84" s="315"/>
      <c r="AA84" s="315"/>
      <c r="AB84" s="315"/>
      <c r="AD84" s="316"/>
    </row>
    <row r="85" spans="2:30" x14ac:dyDescent="0.45">
      <c r="B85" s="317"/>
      <c r="P85" s="312"/>
      <c r="Q85" s="313"/>
      <c r="R85" s="314"/>
      <c r="V85" s="312"/>
      <c r="W85" s="313"/>
      <c r="X85" s="314"/>
      <c r="Y85" s="315"/>
      <c r="Z85" s="315"/>
      <c r="AA85" s="315"/>
      <c r="AB85" s="315"/>
      <c r="AD85" s="316"/>
    </row>
    <row r="86" spans="2:30" x14ac:dyDescent="0.45">
      <c r="B86" s="317"/>
      <c r="P86" s="312"/>
      <c r="Q86" s="313"/>
      <c r="R86" s="314"/>
      <c r="V86" s="312"/>
      <c r="W86" s="313"/>
      <c r="X86" s="314"/>
      <c r="Y86" s="315"/>
      <c r="Z86" s="315"/>
      <c r="AA86" s="315"/>
      <c r="AB86" s="315"/>
      <c r="AD86" s="316"/>
    </row>
    <row r="87" spans="2:30" x14ac:dyDescent="0.45">
      <c r="B87" s="317"/>
      <c r="P87" s="312"/>
      <c r="Q87" s="313"/>
      <c r="R87" s="314"/>
      <c r="V87" s="312"/>
      <c r="W87" s="313"/>
      <c r="X87" s="314"/>
      <c r="Y87" s="315"/>
      <c r="Z87" s="315"/>
      <c r="AA87" s="315"/>
      <c r="AB87" s="315"/>
      <c r="AD87" s="316"/>
    </row>
    <row r="88" spans="2:30" x14ac:dyDescent="0.45">
      <c r="B88" s="317"/>
      <c r="P88" s="312"/>
      <c r="Q88" s="313"/>
      <c r="R88" s="314"/>
      <c r="V88" s="312"/>
      <c r="W88" s="313"/>
      <c r="X88" s="314"/>
      <c r="Y88" s="315"/>
      <c r="Z88" s="315"/>
      <c r="AA88" s="315"/>
      <c r="AB88" s="315"/>
      <c r="AD88" s="316"/>
    </row>
    <row r="89" spans="2:30" x14ac:dyDescent="0.45">
      <c r="P89" s="312"/>
      <c r="Q89" s="313"/>
      <c r="R89" s="314"/>
      <c r="V89" s="312"/>
      <c r="W89" s="313"/>
      <c r="X89" s="314"/>
      <c r="Y89" s="315"/>
      <c r="Z89" s="315"/>
      <c r="AA89" s="315"/>
      <c r="AB89" s="315"/>
      <c r="AD89" s="316"/>
    </row>
    <row r="90" spans="2:30" x14ac:dyDescent="0.45">
      <c r="B90" s="318"/>
      <c r="P90" s="312"/>
      <c r="Q90" s="313"/>
      <c r="R90" s="314"/>
      <c r="V90" s="312"/>
      <c r="W90" s="313"/>
      <c r="X90" s="314"/>
      <c r="Y90" s="315"/>
      <c r="Z90" s="315"/>
      <c r="AA90" s="315"/>
      <c r="AB90" s="315"/>
      <c r="AD90" s="316"/>
    </row>
    <row r="91" spans="2:30" x14ac:dyDescent="0.45">
      <c r="P91" s="312"/>
      <c r="Q91" s="313"/>
      <c r="R91" s="314"/>
      <c r="V91" s="312"/>
      <c r="W91" s="313"/>
      <c r="X91" s="314"/>
      <c r="Y91" s="315"/>
      <c r="Z91" s="315"/>
      <c r="AA91" s="315"/>
      <c r="AB91" s="315"/>
      <c r="AD91" s="316"/>
    </row>
    <row r="92" spans="2:30" x14ac:dyDescent="0.45">
      <c r="P92" s="312"/>
      <c r="Q92" s="313"/>
      <c r="R92" s="314"/>
      <c r="V92" s="312"/>
      <c r="W92" s="313"/>
      <c r="X92" s="314"/>
      <c r="Y92" s="315"/>
      <c r="Z92" s="315"/>
      <c r="AA92" s="315"/>
      <c r="AB92" s="315"/>
      <c r="AD92" s="316"/>
    </row>
    <row r="93" spans="2:30" x14ac:dyDescent="0.45">
      <c r="P93" s="312"/>
      <c r="Q93" s="313"/>
      <c r="R93" s="314"/>
      <c r="V93" s="312"/>
      <c r="W93" s="313"/>
      <c r="X93" s="314"/>
      <c r="Y93" s="315"/>
      <c r="Z93" s="315"/>
      <c r="AA93" s="315"/>
      <c r="AB93" s="315"/>
      <c r="AD93" s="316"/>
    </row>
    <row r="94" spans="2:30" x14ac:dyDescent="0.45">
      <c r="P94" s="312"/>
      <c r="Q94" s="313"/>
      <c r="R94" s="314"/>
      <c r="V94" s="312"/>
      <c r="W94" s="313"/>
      <c r="X94" s="314"/>
      <c r="Y94" s="315"/>
      <c r="Z94" s="315"/>
      <c r="AA94" s="315"/>
      <c r="AB94" s="315"/>
      <c r="AD94" s="316"/>
    </row>
    <row r="95" spans="2:30" x14ac:dyDescent="0.45">
      <c r="P95" s="312"/>
      <c r="Q95" s="313"/>
      <c r="R95" s="314"/>
      <c r="V95" s="312"/>
      <c r="W95" s="313"/>
      <c r="X95" s="314"/>
      <c r="Y95" s="315"/>
      <c r="Z95" s="315"/>
      <c r="AA95" s="315"/>
      <c r="AB95" s="315"/>
      <c r="AD95" s="316"/>
    </row>
    <row r="96" spans="2:30" x14ac:dyDescent="0.45">
      <c r="P96" s="312"/>
      <c r="Q96" s="313"/>
      <c r="R96" s="314"/>
      <c r="V96" s="312"/>
      <c r="W96" s="313"/>
      <c r="X96" s="314"/>
      <c r="Y96" s="315"/>
      <c r="Z96" s="315"/>
      <c r="AA96" s="315"/>
      <c r="AB96" s="315"/>
      <c r="AD96" s="316"/>
    </row>
    <row r="97" spans="2:30" x14ac:dyDescent="0.45">
      <c r="P97" s="312"/>
      <c r="Q97" s="313"/>
      <c r="R97" s="314"/>
      <c r="V97" s="312"/>
      <c r="W97" s="313"/>
      <c r="X97" s="314"/>
      <c r="Y97" s="315"/>
      <c r="Z97" s="315"/>
      <c r="AA97" s="315"/>
      <c r="AB97" s="315"/>
      <c r="AD97" s="316"/>
    </row>
    <row r="98" spans="2:30" x14ac:dyDescent="0.45">
      <c r="P98" s="312"/>
      <c r="Q98" s="313"/>
      <c r="R98" s="314"/>
      <c r="V98" s="312"/>
      <c r="W98" s="313"/>
      <c r="X98" s="314"/>
      <c r="Y98" s="315"/>
      <c r="Z98" s="315"/>
      <c r="AA98" s="315"/>
      <c r="AB98" s="315"/>
      <c r="AD98" s="316"/>
    </row>
    <row r="99" spans="2:30" x14ac:dyDescent="0.45">
      <c r="P99" s="312"/>
      <c r="Q99" s="313"/>
      <c r="R99" s="314"/>
      <c r="V99" s="312"/>
      <c r="W99" s="313"/>
      <c r="X99" s="314"/>
      <c r="Y99" s="315"/>
      <c r="Z99" s="315"/>
      <c r="AA99" s="315"/>
      <c r="AB99" s="315"/>
      <c r="AD99" s="316"/>
    </row>
    <row r="100" spans="2:30" x14ac:dyDescent="0.45">
      <c r="P100" s="312"/>
      <c r="Q100" s="313"/>
      <c r="R100" s="314"/>
      <c r="V100" s="312"/>
      <c r="W100" s="313"/>
      <c r="X100" s="314"/>
      <c r="Y100" s="315"/>
      <c r="Z100" s="315"/>
      <c r="AA100" s="315"/>
      <c r="AB100" s="315"/>
      <c r="AD100" s="316"/>
    </row>
    <row r="101" spans="2:30" x14ac:dyDescent="0.45">
      <c r="P101" s="312"/>
      <c r="Q101" s="313"/>
      <c r="R101" s="314"/>
      <c r="V101" s="312"/>
      <c r="W101" s="313"/>
      <c r="X101" s="314"/>
      <c r="Y101" s="315"/>
      <c r="Z101" s="315"/>
      <c r="AA101" s="315"/>
      <c r="AB101" s="315"/>
      <c r="AD101" s="316"/>
    </row>
    <row r="102" spans="2:30" x14ac:dyDescent="0.45">
      <c r="P102" s="312"/>
      <c r="Q102" s="313"/>
      <c r="R102" s="314"/>
      <c r="V102" s="312"/>
      <c r="W102" s="313"/>
      <c r="X102" s="314"/>
      <c r="Y102" s="315"/>
      <c r="Z102" s="315"/>
      <c r="AA102" s="315"/>
      <c r="AB102" s="315"/>
      <c r="AD102" s="316"/>
    </row>
    <row r="103" spans="2:30" x14ac:dyDescent="0.45">
      <c r="P103" s="312"/>
      <c r="Q103" s="313"/>
      <c r="R103" s="314"/>
      <c r="V103" s="312"/>
      <c r="W103" s="313"/>
      <c r="X103" s="314"/>
      <c r="Y103" s="315"/>
      <c r="Z103" s="315"/>
      <c r="AA103" s="315"/>
      <c r="AB103" s="315"/>
      <c r="AD103" s="316"/>
    </row>
    <row r="104" spans="2:30" x14ac:dyDescent="0.45">
      <c r="P104" s="312"/>
      <c r="Q104" s="313"/>
      <c r="R104" s="314"/>
      <c r="V104" s="312"/>
      <c r="W104" s="313"/>
      <c r="X104" s="314"/>
      <c r="Y104" s="315"/>
      <c r="Z104" s="315"/>
      <c r="AA104" s="315"/>
      <c r="AB104" s="315"/>
      <c r="AD104" s="316"/>
    </row>
    <row r="105" spans="2:30" x14ac:dyDescent="0.45">
      <c r="P105" s="312"/>
      <c r="Q105" s="313"/>
      <c r="R105" s="314"/>
      <c r="V105" s="312"/>
      <c r="W105" s="313"/>
      <c r="X105" s="314"/>
      <c r="Y105" s="315"/>
      <c r="Z105" s="315"/>
      <c r="AA105" s="315"/>
      <c r="AB105" s="315"/>
      <c r="AD105" s="316"/>
    </row>
    <row r="106" spans="2:30" x14ac:dyDescent="0.45">
      <c r="P106" s="312"/>
      <c r="Q106" s="313"/>
      <c r="R106" s="314"/>
      <c r="V106" s="312"/>
      <c r="W106" s="313"/>
      <c r="X106" s="314"/>
      <c r="Y106" s="315"/>
      <c r="Z106" s="315"/>
      <c r="AA106" s="315"/>
      <c r="AB106" s="315"/>
      <c r="AD106" s="316"/>
    </row>
    <row r="107" spans="2:30" x14ac:dyDescent="0.45">
      <c r="B107" s="319" t="s">
        <v>419</v>
      </c>
      <c r="C107" s="320"/>
      <c r="D107" s="321">
        <f>Control!$H$132</f>
        <v>46387</v>
      </c>
      <c r="E107" s="321">
        <f>Control!$I$132</f>
        <v>46752</v>
      </c>
      <c r="F107" s="321">
        <f>Control!$J$132</f>
        <v>47118</v>
      </c>
      <c r="G107" s="321">
        <f>Control!$K$132</f>
        <v>47483</v>
      </c>
      <c r="H107" s="321">
        <f>Control!$L$132</f>
        <v>47848</v>
      </c>
      <c r="I107" s="321">
        <f>Control!$M$132</f>
        <v>48213</v>
      </c>
      <c r="J107" s="321">
        <f>Control!$N$132</f>
        <v>48579</v>
      </c>
      <c r="K107" s="321">
        <f>Control!$O$132</f>
        <v>48944</v>
      </c>
      <c r="L107" s="321">
        <f>Control!$P$132</f>
        <v>49309</v>
      </c>
      <c r="M107" s="321">
        <f>Control!$Q$132</f>
        <v>49674</v>
      </c>
      <c r="N107" s="321">
        <f>Control!$R$132</f>
        <v>50040</v>
      </c>
      <c r="O107" s="321">
        <f>Control!$S$132</f>
        <v>50405</v>
      </c>
      <c r="P107" s="321">
        <f>Control!$T$132</f>
        <v>50770</v>
      </c>
      <c r="Q107" s="321">
        <f>Control!$U$132</f>
        <v>51135</v>
      </c>
      <c r="R107" s="321">
        <f>Control!$V$132</f>
        <v>51501</v>
      </c>
      <c r="S107" s="321">
        <f>Control!$W$132</f>
        <v>51866</v>
      </c>
      <c r="T107" s="321">
        <f>Control!$X$132</f>
        <v>52231</v>
      </c>
      <c r="U107" s="321">
        <f>Control!$Y$132</f>
        <v>52596</v>
      </c>
      <c r="V107" s="321">
        <f>Control!$Z$132</f>
        <v>52962</v>
      </c>
      <c r="W107" s="321">
        <f>Control!$AA$132</f>
        <v>53327</v>
      </c>
      <c r="X107" s="314"/>
      <c r="Y107" s="315"/>
      <c r="Z107" s="315"/>
      <c r="AA107" s="315"/>
      <c r="AB107" s="315"/>
      <c r="AD107" s="316"/>
    </row>
    <row r="108" spans="2:30" x14ac:dyDescent="0.45">
      <c r="B108" s="322" t="str">
        <f>Div_1</f>
        <v>Starlink</v>
      </c>
      <c r="D108" s="186">
        <f>Control!H135</f>
        <v>16168.226512376372</v>
      </c>
      <c r="E108" s="186">
        <f>Control!I135</f>
        <v>20925.290945014051</v>
      </c>
      <c r="F108" s="186">
        <f>Control!J135</f>
        <v>25228.436059530719</v>
      </c>
      <c r="G108" s="186">
        <f>Control!K135</f>
        <v>29250.362886308303</v>
      </c>
      <c r="H108" s="186">
        <f>Control!L135</f>
        <v>33131.630137778353</v>
      </c>
      <c r="I108" s="186">
        <f>Control!M135</f>
        <v>36987.208644354287</v>
      </c>
      <c r="J108" s="186">
        <f>Control!N135</f>
        <v>40894.816748194142</v>
      </c>
      <c r="K108" s="186">
        <f>Control!O135</f>
        <v>44616.698926038618</v>
      </c>
      <c r="L108" s="186">
        <f>Control!P135</f>
        <v>48156.82331835771</v>
      </c>
      <c r="M108" s="186">
        <f>Control!Q135</f>
        <v>51519.411702551733</v>
      </c>
      <c r="N108" s="186">
        <f>Control!R135</f>
        <v>54708.884697452304</v>
      </c>
      <c r="O108" s="186">
        <f>Control!S135</f>
        <v>57729.807845632764</v>
      </c>
      <c r="P108" s="186">
        <f>Control!T135</f>
        <v>60586.839090106951</v>
      </c>
      <c r="Q108" s="186">
        <f>Control!U135</f>
        <v>63284.678147543236</v>
      </c>
      <c r="R108" s="186">
        <f>Control!V135</f>
        <v>65828.018259813689</v>
      </c>
      <c r="S108" s="186">
        <f>Control!W135</f>
        <v>68221.500779622642</v>
      </c>
      <c r="T108" s="186">
        <f>Control!X135</f>
        <v>70469.673014283937</v>
      </c>
      <c r="U108" s="186">
        <f>Control!Y135</f>
        <v>72576.949714699847</v>
      </c>
      <c r="V108" s="186">
        <f>Control!Z135</f>
        <v>74547.57855457667</v>
      </c>
      <c r="W108" s="186">
        <f>Control!AA135</f>
        <v>76385.609898322495</v>
      </c>
      <c r="X108" s="314"/>
      <c r="Y108" s="315"/>
      <c r="Z108" s="315"/>
      <c r="AA108" s="315"/>
      <c r="AB108" s="315"/>
      <c r="AD108" s="316"/>
    </row>
    <row r="109" spans="2:30" x14ac:dyDescent="0.45">
      <c r="B109" s="322" t="str">
        <f>Div_2</f>
        <v>AI</v>
      </c>
      <c r="D109" s="174">
        <f>Control!H136</f>
        <v>14496.591564540744</v>
      </c>
      <c r="E109" s="174">
        <f>Control!I136</f>
        <v>31674.530003253592</v>
      </c>
      <c r="F109" s="174">
        <f>Control!J136</f>
        <v>40758.7126806503</v>
      </c>
      <c r="G109" s="174">
        <f>Control!K136</f>
        <v>49891.798456530632</v>
      </c>
      <c r="H109" s="174">
        <f>Control!L136</f>
        <v>57300.691222631722</v>
      </c>
      <c r="I109" s="174">
        <f>Control!M136</f>
        <v>67225.302088566124</v>
      </c>
      <c r="J109" s="174">
        <f>Control!N136</f>
        <v>75224.260389964911</v>
      </c>
      <c r="K109" s="174">
        <f>Control!O136</f>
        <v>82570.297829210744</v>
      </c>
      <c r="L109" s="174">
        <f>Control!P136</f>
        <v>90085.941932280257</v>
      </c>
      <c r="M109" s="174">
        <f>Control!Q136</f>
        <v>98188.469087598816</v>
      </c>
      <c r="N109" s="174">
        <f>Control!R136</f>
        <v>106916.96073594356</v>
      </c>
      <c r="O109" s="174">
        <f>Control!S136</f>
        <v>116312.99901433002</v>
      </c>
      <c r="P109" s="174">
        <f>Control!T136</f>
        <v>126420.96174968385</v>
      </c>
      <c r="Q109" s="174">
        <f>Control!U136</f>
        <v>137288.36387052119</v>
      </c>
      <c r="R109" s="174">
        <f>Control!V136</f>
        <v>148966.24688621244</v>
      </c>
      <c r="S109" s="174">
        <f>Control!W136</f>
        <v>161509.61707555232</v>
      </c>
      <c r="T109" s="174">
        <f>Control!X136</f>
        <v>174977.9319621278</v>
      </c>
      <c r="U109" s="174">
        <f>Control!Y136</f>
        <v>189435.63359041282</v>
      </c>
      <c r="V109" s="174">
        <f>Control!Z136</f>
        <v>204952.72611650839</v>
      </c>
      <c r="W109" s="174">
        <f>Control!AA136</f>
        <v>221605.39435620361</v>
      </c>
      <c r="X109" s="314"/>
      <c r="Y109" s="315"/>
      <c r="Z109" s="315"/>
      <c r="AA109" s="315"/>
      <c r="AB109" s="315"/>
      <c r="AD109" s="316"/>
    </row>
    <row r="110" spans="2:30" x14ac:dyDescent="0.45">
      <c r="B110" s="322" t="str">
        <f>Div_3</f>
        <v>Space</v>
      </c>
      <c r="D110" s="174">
        <f>Control!H137</f>
        <v>5393.52</v>
      </c>
      <c r="E110" s="174">
        <f>Control!I137</f>
        <v>7048.9197762880885</v>
      </c>
      <c r="F110" s="174">
        <f>Control!J137</f>
        <v>9120.6383033356378</v>
      </c>
      <c r="G110" s="174">
        <f>Control!K137</f>
        <v>11683.045000515016</v>
      </c>
      <c r="H110" s="174">
        <f>Control!L137</f>
        <v>14814.618868741705</v>
      </c>
      <c r="I110" s="174">
        <f>Control!M137</f>
        <v>18595.321915362209</v>
      </c>
      <c r="J110" s="174">
        <f>Control!N137</f>
        <v>23103.116406933335</v>
      </c>
      <c r="K110" s="174">
        <f>Control!O137</f>
        <v>28409.633455885956</v>
      </c>
      <c r="L110" s="174">
        <f>Control!P137</f>
        <v>34575.074795132299</v>
      </c>
      <c r="M110" s="174">
        <f>Control!Q137</f>
        <v>41642.516988331758</v>
      </c>
      <c r="N110" s="174">
        <f>Control!R137</f>
        <v>49631.881881993417</v>
      </c>
      <c r="O110" s="174">
        <f>Control!S137</f>
        <v>58533.930457943927</v>
      </c>
      <c r="P110" s="174">
        <f>Control!T137</f>
        <v>68304.718960425103</v>
      </c>
      <c r="Q110" s="174">
        <f>Control!U137</f>
        <v>78861.014605523596</v>
      </c>
      <c r="R110" s="174">
        <f>Control!V137</f>
        <v>90077.191707756298</v>
      </c>
      <c r="S110" s="174">
        <f>Control!W137</f>
        <v>101784.10761343126</v>
      </c>
      <c r="T110" s="174">
        <f>Control!X137</f>
        <v>113770.38457426835</v>
      </c>
      <c r="U110" s="174">
        <f>Control!Y137</f>
        <v>125786.39659048834</v>
      </c>
      <c r="V110" s="174">
        <f>Control!Z137</f>
        <v>137551.08327880205</v>
      </c>
      <c r="W110" s="174">
        <f>Control!AA137</f>
        <v>148761.49656602441</v>
      </c>
      <c r="X110" s="314"/>
      <c r="Y110" s="315"/>
      <c r="Z110" s="315"/>
      <c r="AA110" s="315"/>
      <c r="AB110" s="315"/>
      <c r="AD110" s="316"/>
    </row>
    <row r="111" spans="2:30" x14ac:dyDescent="0.45">
      <c r="P111" s="312"/>
      <c r="Q111" s="313"/>
      <c r="R111" s="314"/>
      <c r="V111" s="312"/>
      <c r="W111" s="313"/>
      <c r="X111" s="314"/>
      <c r="Y111" s="315"/>
      <c r="Z111" s="315"/>
      <c r="AA111" s="315"/>
      <c r="AB111" s="315"/>
      <c r="AD111" s="316"/>
    </row>
    <row r="112" spans="2:30" x14ac:dyDescent="0.45">
      <c r="P112" s="312"/>
      <c r="Q112" s="313"/>
      <c r="R112" s="314"/>
      <c r="V112" s="312"/>
      <c r="W112" s="313"/>
      <c r="X112" s="314"/>
      <c r="Y112" s="315"/>
      <c r="Z112" s="315"/>
      <c r="AA112" s="315"/>
      <c r="AB112" s="315"/>
      <c r="AD112" s="316"/>
    </row>
    <row r="113" spans="16:30" x14ac:dyDescent="0.45">
      <c r="P113" s="312"/>
      <c r="Q113" s="313"/>
      <c r="R113" s="314"/>
      <c r="V113" s="312"/>
      <c r="W113" s="313"/>
      <c r="X113" s="314"/>
      <c r="Y113" s="315"/>
      <c r="Z113" s="315"/>
      <c r="AA113" s="315"/>
      <c r="AB113" s="315"/>
      <c r="AD113" s="316"/>
    </row>
    <row r="114" spans="16:30" x14ac:dyDescent="0.45">
      <c r="P114" s="312"/>
      <c r="Q114" s="313"/>
      <c r="R114" s="314"/>
      <c r="V114" s="312"/>
      <c r="W114" s="313"/>
      <c r="X114" s="314"/>
      <c r="Y114" s="315"/>
      <c r="Z114" s="315"/>
      <c r="AA114" s="315"/>
      <c r="AB114" s="315"/>
      <c r="AD114" s="316"/>
    </row>
    <row r="115" spans="16:30" x14ac:dyDescent="0.45">
      <c r="P115" s="312"/>
      <c r="Q115" s="313"/>
      <c r="R115" s="314"/>
      <c r="V115" s="312"/>
      <c r="W115" s="313"/>
      <c r="X115" s="314"/>
      <c r="Y115" s="315"/>
      <c r="Z115" s="315"/>
      <c r="AA115" s="315"/>
      <c r="AB115" s="315"/>
      <c r="AD115" s="316"/>
    </row>
    <row r="116" spans="16:30" x14ac:dyDescent="0.45">
      <c r="P116" s="312"/>
      <c r="Q116" s="313"/>
      <c r="R116" s="314"/>
      <c r="V116" s="312"/>
      <c r="W116" s="313"/>
      <c r="X116" s="314"/>
      <c r="Y116" s="315"/>
      <c r="Z116" s="315"/>
      <c r="AA116" s="315"/>
      <c r="AB116" s="315"/>
      <c r="AD116" s="316"/>
    </row>
    <row r="117" spans="16:30" x14ac:dyDescent="0.45">
      <c r="P117" s="312"/>
      <c r="Q117" s="313"/>
      <c r="R117" s="314"/>
      <c r="V117" s="312"/>
      <c r="W117" s="313"/>
      <c r="X117" s="314"/>
      <c r="Y117" s="315"/>
      <c r="Z117" s="315"/>
      <c r="AA117" s="315"/>
      <c r="AB117" s="315"/>
      <c r="AD117" s="316"/>
    </row>
    <row r="118" spans="16:30" x14ac:dyDescent="0.45">
      <c r="P118" s="312"/>
      <c r="Q118" s="313"/>
      <c r="R118" s="314"/>
      <c r="V118" s="312"/>
      <c r="W118" s="313"/>
      <c r="X118" s="314"/>
      <c r="Y118" s="315"/>
      <c r="Z118" s="315"/>
      <c r="AA118" s="315"/>
      <c r="AB118" s="315"/>
      <c r="AD118" s="316"/>
    </row>
    <row r="119" spans="16:30" x14ac:dyDescent="0.45">
      <c r="P119" s="312"/>
      <c r="Q119" s="313"/>
      <c r="R119" s="314"/>
      <c r="V119" s="312"/>
      <c r="W119" s="313"/>
      <c r="X119" s="314"/>
      <c r="Y119" s="315"/>
      <c r="Z119" s="315"/>
      <c r="AA119" s="315"/>
      <c r="AB119" s="315"/>
      <c r="AD119" s="316"/>
    </row>
    <row r="120" spans="16:30" x14ac:dyDescent="0.45">
      <c r="P120" s="312"/>
      <c r="Q120" s="313"/>
      <c r="R120" s="314"/>
      <c r="V120" s="312"/>
      <c r="W120" s="313"/>
      <c r="X120" s="314"/>
      <c r="Y120" s="315"/>
      <c r="Z120" s="315"/>
      <c r="AA120" s="315"/>
      <c r="AB120" s="315"/>
      <c r="AD120" s="316"/>
    </row>
    <row r="121" spans="16:30" x14ac:dyDescent="0.45">
      <c r="P121" s="312"/>
      <c r="Q121" s="313"/>
      <c r="R121" s="314"/>
      <c r="V121" s="312"/>
      <c r="W121" s="313"/>
      <c r="X121" s="314"/>
      <c r="Y121" s="315"/>
      <c r="Z121" s="315"/>
      <c r="AA121" s="315"/>
      <c r="AB121" s="315"/>
      <c r="AD121" s="316"/>
    </row>
    <row r="122" spans="16:30" x14ac:dyDescent="0.45">
      <c r="P122" s="312"/>
      <c r="Q122" s="313"/>
      <c r="R122" s="314"/>
      <c r="V122" s="312"/>
      <c r="W122" s="313"/>
      <c r="X122" s="314"/>
      <c r="Y122" s="315"/>
      <c r="Z122" s="315"/>
      <c r="AA122" s="315"/>
      <c r="AB122" s="315"/>
      <c r="AD122" s="316"/>
    </row>
    <row r="123" spans="16:30" x14ac:dyDescent="0.45">
      <c r="P123" s="312"/>
      <c r="Q123" s="313"/>
      <c r="R123" s="314"/>
      <c r="V123" s="312"/>
      <c r="W123" s="313"/>
      <c r="X123" s="314"/>
      <c r="Y123" s="315"/>
      <c r="Z123" s="315"/>
      <c r="AA123" s="315"/>
      <c r="AB123" s="315"/>
      <c r="AD123" s="316"/>
    </row>
    <row r="124" spans="16:30" x14ac:dyDescent="0.45">
      <c r="P124" s="312"/>
      <c r="Q124" s="313"/>
      <c r="R124" s="314"/>
      <c r="V124" s="312"/>
      <c r="W124" s="313"/>
      <c r="X124" s="314"/>
      <c r="Y124" s="315"/>
      <c r="Z124" s="315"/>
      <c r="AA124" s="315"/>
      <c r="AB124" s="315"/>
      <c r="AD124" s="316"/>
    </row>
    <row r="125" spans="16:30" x14ac:dyDescent="0.45">
      <c r="P125" s="312"/>
      <c r="Q125" s="313"/>
      <c r="R125" s="314"/>
      <c r="V125" s="312"/>
      <c r="W125" s="313"/>
      <c r="X125" s="314"/>
      <c r="Y125" s="315"/>
      <c r="Z125" s="315"/>
      <c r="AA125" s="315"/>
      <c r="AB125" s="315"/>
      <c r="AD125" s="316"/>
    </row>
    <row r="126" spans="16:30" x14ac:dyDescent="0.45">
      <c r="P126" s="312"/>
      <c r="Q126" s="313"/>
      <c r="R126" s="314"/>
      <c r="V126" s="312"/>
      <c r="W126" s="313"/>
      <c r="X126" s="314"/>
      <c r="Y126" s="315"/>
      <c r="Z126" s="315"/>
      <c r="AA126" s="315"/>
      <c r="AB126" s="315"/>
      <c r="AD126" s="316"/>
    </row>
    <row r="127" spans="16:30" x14ac:dyDescent="0.45">
      <c r="P127" s="312"/>
      <c r="Q127" s="313"/>
      <c r="R127" s="314"/>
      <c r="V127" s="312"/>
      <c r="W127" s="313"/>
      <c r="X127" s="314"/>
      <c r="Y127" s="315"/>
      <c r="Z127" s="315"/>
      <c r="AA127" s="315"/>
      <c r="AB127" s="315"/>
      <c r="AD127" s="316"/>
    </row>
    <row r="128" spans="16:30" x14ac:dyDescent="0.45">
      <c r="P128" s="312"/>
      <c r="Q128" s="313"/>
      <c r="R128" s="314"/>
      <c r="V128" s="312"/>
      <c r="W128" s="313"/>
      <c r="X128" s="314"/>
      <c r="Y128" s="315"/>
      <c r="Z128" s="315"/>
      <c r="AA128" s="315"/>
      <c r="AB128" s="315"/>
      <c r="AD128" s="316"/>
    </row>
    <row r="129" spans="2:30" x14ac:dyDescent="0.45">
      <c r="P129" s="312"/>
      <c r="Q129" s="313"/>
      <c r="R129" s="314"/>
      <c r="V129" s="312"/>
      <c r="W129" s="313"/>
      <c r="X129" s="314"/>
      <c r="Y129" s="315"/>
      <c r="Z129" s="315"/>
      <c r="AA129" s="315"/>
      <c r="AB129" s="315"/>
      <c r="AD129" s="316"/>
    </row>
    <row r="130" spans="2:30" x14ac:dyDescent="0.45">
      <c r="P130" s="312"/>
      <c r="Q130" s="313"/>
      <c r="R130" s="314"/>
      <c r="V130" s="312"/>
      <c r="W130" s="313"/>
      <c r="X130" s="314"/>
      <c r="Y130" s="315"/>
      <c r="Z130" s="315"/>
      <c r="AA130" s="315"/>
      <c r="AB130" s="315"/>
      <c r="AD130" s="316"/>
    </row>
    <row r="131" spans="2:30" x14ac:dyDescent="0.45">
      <c r="P131" s="312"/>
      <c r="Q131" s="313"/>
      <c r="R131" s="314"/>
      <c r="V131" s="312"/>
      <c r="W131" s="313"/>
      <c r="X131" s="314"/>
      <c r="Y131" s="315"/>
      <c r="Z131" s="315"/>
      <c r="AA131" s="315"/>
      <c r="AB131" s="315"/>
      <c r="AD131" s="316"/>
    </row>
    <row r="132" spans="2:30" x14ac:dyDescent="0.45">
      <c r="P132" s="312"/>
      <c r="Q132" s="313"/>
      <c r="R132" s="314"/>
      <c r="V132" s="312"/>
      <c r="W132" s="313"/>
      <c r="X132" s="314"/>
      <c r="Y132" s="315"/>
      <c r="Z132" s="315"/>
      <c r="AA132" s="315"/>
      <c r="AB132" s="315"/>
      <c r="AD132" s="316"/>
    </row>
    <row r="133" spans="2:30" x14ac:dyDescent="0.45">
      <c r="P133" s="312"/>
      <c r="Q133" s="313"/>
      <c r="R133" s="314"/>
      <c r="V133" s="312"/>
      <c r="W133" s="313"/>
      <c r="X133" s="314"/>
      <c r="Y133" s="315"/>
      <c r="Z133" s="315"/>
      <c r="AA133" s="315"/>
      <c r="AB133" s="315"/>
      <c r="AD133" s="316"/>
    </row>
    <row r="134" spans="2:30" x14ac:dyDescent="0.45">
      <c r="P134" s="312"/>
      <c r="Q134" s="313"/>
      <c r="R134" s="314"/>
      <c r="V134" s="312"/>
      <c r="W134" s="313"/>
      <c r="X134" s="314"/>
      <c r="Y134" s="315"/>
      <c r="Z134" s="315"/>
      <c r="AA134" s="315"/>
      <c r="AB134" s="315"/>
      <c r="AD134" s="316"/>
    </row>
    <row r="135" spans="2:30" x14ac:dyDescent="0.45">
      <c r="P135" s="312"/>
      <c r="Q135" s="313"/>
      <c r="R135" s="314"/>
      <c r="V135" s="312"/>
      <c r="W135" s="313"/>
      <c r="X135" s="314"/>
      <c r="Y135" s="315"/>
      <c r="Z135" s="315"/>
      <c r="AA135" s="315"/>
      <c r="AB135" s="315"/>
      <c r="AD135" s="316"/>
    </row>
    <row r="136" spans="2:30" x14ac:dyDescent="0.45">
      <c r="P136" s="312"/>
      <c r="Q136" s="313"/>
      <c r="R136" s="314"/>
      <c r="V136" s="312"/>
      <c r="W136" s="313"/>
      <c r="X136" s="314"/>
      <c r="Y136" s="315"/>
      <c r="Z136" s="315"/>
      <c r="AA136" s="315"/>
      <c r="AB136" s="315"/>
      <c r="AD136" s="316"/>
    </row>
    <row r="137" spans="2:30" x14ac:dyDescent="0.45">
      <c r="P137" s="312"/>
      <c r="Q137" s="313"/>
      <c r="R137" s="314"/>
      <c r="V137" s="312"/>
      <c r="W137" s="313"/>
      <c r="X137" s="314"/>
      <c r="Y137" s="315"/>
      <c r="Z137" s="315"/>
      <c r="AA137" s="315"/>
      <c r="AB137" s="315"/>
      <c r="AD137" s="316"/>
    </row>
    <row r="138" spans="2:30" x14ac:dyDescent="0.45">
      <c r="P138" s="312"/>
      <c r="Q138" s="313"/>
      <c r="R138" s="314"/>
      <c r="V138" s="312"/>
      <c r="W138" s="313"/>
      <c r="X138" s="314"/>
      <c r="Y138" s="315"/>
      <c r="Z138" s="315"/>
      <c r="AA138" s="315"/>
      <c r="AB138" s="315"/>
      <c r="AD138" s="316"/>
    </row>
    <row r="139" spans="2:30" x14ac:dyDescent="0.45">
      <c r="P139" s="312"/>
      <c r="Q139" s="313"/>
      <c r="R139" s="314"/>
      <c r="V139" s="312"/>
      <c r="W139" s="313"/>
      <c r="X139" s="314"/>
      <c r="Y139" s="315"/>
      <c r="Z139" s="315"/>
      <c r="AA139" s="315"/>
      <c r="AB139" s="315"/>
      <c r="AD139" s="316"/>
    </row>
    <row r="140" spans="2:30" x14ac:dyDescent="0.45">
      <c r="P140" s="312"/>
      <c r="Q140" s="313"/>
      <c r="R140" s="314"/>
      <c r="V140" s="312"/>
      <c r="W140" s="313"/>
      <c r="X140" s="314"/>
      <c r="Y140" s="315"/>
      <c r="Z140" s="315"/>
      <c r="AA140" s="315"/>
      <c r="AB140" s="315"/>
      <c r="AD140" s="316"/>
    </row>
    <row r="141" spans="2:30" x14ac:dyDescent="0.45">
      <c r="P141" s="312"/>
      <c r="Q141" s="313"/>
      <c r="R141" s="314"/>
      <c r="V141" s="312"/>
      <c r="W141" s="313"/>
      <c r="X141" s="314"/>
      <c r="Y141" s="315"/>
      <c r="Z141" s="315"/>
      <c r="AA141" s="315"/>
      <c r="AB141" s="315"/>
      <c r="AD141" s="316"/>
    </row>
    <row r="142" spans="2:30" x14ac:dyDescent="0.45">
      <c r="D142" s="321">
        <f>Control!$H$132</f>
        <v>46387</v>
      </c>
      <c r="E142" s="321">
        <f>Control!$I$132</f>
        <v>46752</v>
      </c>
      <c r="F142" s="321">
        <f>Control!$J$132</f>
        <v>47118</v>
      </c>
      <c r="G142" s="321">
        <f>Control!$K$132</f>
        <v>47483</v>
      </c>
      <c r="H142" s="321">
        <f>Control!$L$132</f>
        <v>47848</v>
      </c>
      <c r="I142" s="321">
        <f>Control!$M$132</f>
        <v>48213</v>
      </c>
      <c r="J142" s="321">
        <f>Control!$N$132</f>
        <v>48579</v>
      </c>
      <c r="K142" s="321">
        <f>Control!$O$132</f>
        <v>48944</v>
      </c>
      <c r="L142" s="321">
        <f>Control!$P$132</f>
        <v>49309</v>
      </c>
      <c r="M142" s="321">
        <f>Control!$Q$132</f>
        <v>49674</v>
      </c>
      <c r="N142" s="321">
        <f>Control!$R$132</f>
        <v>50040</v>
      </c>
      <c r="O142" s="321">
        <f>Control!$S$132</f>
        <v>50405</v>
      </c>
      <c r="P142" s="321">
        <f>Control!$T$132</f>
        <v>50770</v>
      </c>
      <c r="Q142" s="321">
        <f>Control!$U$132</f>
        <v>51135</v>
      </c>
      <c r="R142" s="321">
        <f>Control!$V$132</f>
        <v>51501</v>
      </c>
      <c r="S142" s="321">
        <f>Control!$W$132</f>
        <v>51866</v>
      </c>
      <c r="T142" s="321">
        <f>Control!$X$132</f>
        <v>52231</v>
      </c>
      <c r="U142" s="321">
        <f>Control!$Y$132</f>
        <v>52596</v>
      </c>
      <c r="V142" s="321">
        <f>Control!$Z$132</f>
        <v>52962</v>
      </c>
      <c r="W142" s="321">
        <f>Control!$AA$132</f>
        <v>53327</v>
      </c>
      <c r="X142" s="314"/>
      <c r="Y142" s="315"/>
      <c r="Z142" s="315"/>
      <c r="AA142" s="315"/>
      <c r="AB142" s="315"/>
      <c r="AD142" s="316"/>
    </row>
    <row r="143" spans="2:30" x14ac:dyDescent="0.45">
      <c r="B143" s="322" t="str">
        <f>Control!$C$28</f>
        <v>Realistic</v>
      </c>
      <c r="D143" s="323">
        <v>34665.747385298986</v>
      </c>
      <c r="E143" s="323">
        <v>55679.957802774828</v>
      </c>
      <c r="F143" s="323">
        <v>68238.748867613831</v>
      </c>
      <c r="G143" s="323">
        <v>80779.113328130494</v>
      </c>
      <c r="H143" s="323">
        <v>91770.170178311979</v>
      </c>
      <c r="I143" s="323">
        <v>105357.10716238481</v>
      </c>
      <c r="J143" s="323">
        <v>117431.84076668584</v>
      </c>
      <c r="K143" s="323">
        <v>129104.2979492708</v>
      </c>
      <c r="L143" s="323">
        <v>141178.82564983086</v>
      </c>
      <c r="M143" s="323">
        <v>154047.85665323099</v>
      </c>
      <c r="N143" s="323">
        <v>167744.86735860686</v>
      </c>
      <c r="O143" s="324">
        <v>182291.95326204656</v>
      </c>
      <c r="P143" s="324">
        <v>197697.98127971255</v>
      </c>
      <c r="Q143" s="324">
        <v>213957.11754944568</v>
      </c>
      <c r="R143" s="324">
        <v>231047.88274529087</v>
      </c>
      <c r="S143" s="324">
        <v>248932.87993284012</v>
      </c>
      <c r="T143" s="324">
        <v>267559.32127402909</v>
      </c>
      <c r="U143" s="324">
        <v>286860.44906017382</v>
      </c>
      <c r="V143" s="324">
        <v>306757.90425693011</v>
      </c>
      <c r="W143" s="324">
        <v>327165.04377579392</v>
      </c>
      <c r="X143" s="314"/>
      <c r="Y143" s="315"/>
      <c r="Z143" s="315"/>
      <c r="AA143" s="315"/>
      <c r="AB143" s="315"/>
      <c r="AD143" s="316"/>
    </row>
    <row r="144" spans="2:30" x14ac:dyDescent="0.45">
      <c r="B144" s="322" t="str">
        <f>Control!$C$27</f>
        <v>Optimistic</v>
      </c>
      <c r="D144" s="325">
        <v>36058.33807691712</v>
      </c>
      <c r="E144" s="325">
        <v>59648.740724555733</v>
      </c>
      <c r="F144" s="325">
        <v>75107.787043516655</v>
      </c>
      <c r="G144" s="325">
        <v>90825.206343353959</v>
      </c>
      <c r="H144" s="325">
        <v>105246.94022915178</v>
      </c>
      <c r="I144" s="325">
        <v>122807.83264828261</v>
      </c>
      <c r="J144" s="325">
        <v>139222.19354509239</v>
      </c>
      <c r="K144" s="325">
        <v>155596.63021113531</v>
      </c>
      <c r="L144" s="325">
        <v>172817.84004577025</v>
      </c>
      <c r="M144" s="325">
        <v>191350.39777848229</v>
      </c>
      <c r="N144" s="325">
        <v>211257.72731538929</v>
      </c>
      <c r="O144" s="324">
        <v>232576.73731790672</v>
      </c>
      <c r="P144" s="324">
        <v>255312.5198002159</v>
      </c>
      <c r="Q144" s="324">
        <v>279434.05662358803</v>
      </c>
      <c r="R144" s="324">
        <v>304871.45685378241</v>
      </c>
      <c r="S144" s="324">
        <v>331515.22546860622</v>
      </c>
      <c r="T144" s="324">
        <v>359217.9895506801</v>
      </c>
      <c r="U144" s="324">
        <v>387798.97989560099</v>
      </c>
      <c r="V144" s="324">
        <v>417051.38794988714</v>
      </c>
      <c r="W144" s="324">
        <v>446752.50082055049</v>
      </c>
      <c r="X144" s="314"/>
      <c r="Y144" s="315"/>
      <c r="Z144" s="315"/>
      <c r="AA144" s="315"/>
      <c r="AB144" s="315"/>
      <c r="AD144" s="316"/>
    </row>
    <row r="145" spans="2:30" x14ac:dyDescent="0.45">
      <c r="B145" s="322" t="str">
        <f>Control!$C$26</f>
        <v>Elon</v>
      </c>
      <c r="D145" s="325">
        <v>37450.928768535254</v>
      </c>
      <c r="E145" s="325">
        <v>63640.864440297868</v>
      </c>
      <c r="F145" s="325">
        <v>82063.121177857363</v>
      </c>
      <c r="G145" s="325">
        <v>101081.57033988526</v>
      </c>
      <c r="H145" s="325">
        <v>119145.70211847832</v>
      </c>
      <c r="I145" s="325">
        <v>141011.73292193958</v>
      </c>
      <c r="J145" s="325">
        <v>162252.05987926252</v>
      </c>
      <c r="K145" s="325">
        <v>184007.81397825913</v>
      </c>
      <c r="L145" s="325">
        <v>207285.32364885448</v>
      </c>
      <c r="M145" s="325">
        <v>232654.45209961236</v>
      </c>
      <c r="N145" s="325">
        <v>260233.30259772096</v>
      </c>
      <c r="O145" s="324">
        <v>290085.21483682096</v>
      </c>
      <c r="P145" s="324">
        <v>322205.32447678549</v>
      </c>
      <c r="Q145" s="324">
        <v>356509.32964026264</v>
      </c>
      <c r="R145" s="324">
        <v>392825.98384279991</v>
      </c>
      <c r="S145" s="324">
        <v>430894.79852313513</v>
      </c>
      <c r="T145" s="324">
        <v>470370.2204242266</v>
      </c>
      <c r="U145" s="324">
        <v>510833.13841741462</v>
      </c>
      <c r="V145" s="324">
        <v>551809.98554802453</v>
      </c>
      <c r="W145" s="324">
        <v>592798.97855375963</v>
      </c>
      <c r="X145" s="314"/>
      <c r="Y145" s="315"/>
      <c r="Z145" s="315"/>
      <c r="AA145" s="315"/>
      <c r="AB145" s="315"/>
      <c r="AD145" s="316"/>
    </row>
  </sheetData>
  <pageMargins left="0.7" right="0.7" top="0.75" bottom="0.75" header="0.3" footer="0.3"/>
  <pageSetup scale="61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B2:AA111"/>
  <sheetViews>
    <sheetView showGridLines="0" zoomScaleNormal="100" workbookViewId="0">
      <pane xSplit="4" topLeftCell="E1" activePane="topRight" state="frozen"/>
      <selection pane="topRight" activeCell="B2" sqref="B2"/>
    </sheetView>
  </sheetViews>
  <sheetFormatPr defaultColWidth="9.15234375" defaultRowHeight="15.9" outlineLevelRow="1" x14ac:dyDescent="0.45"/>
  <cols>
    <col min="1" max="2" width="2.69140625" style="5" customWidth="1"/>
    <col min="3" max="3" width="39.53515625" style="5" bestFit="1" customWidth="1"/>
    <col min="4" max="4" width="14.69140625" style="5" customWidth="1"/>
    <col min="5" max="27" width="12.69140625" style="5" customWidth="1"/>
    <col min="28" max="28" width="2.69140625" style="5" customWidth="1"/>
    <col min="29" max="16384" width="9.15234375" style="5"/>
  </cols>
  <sheetData>
    <row r="2" spans="2:18" ht="18.45" x14ac:dyDescent="0.5">
      <c r="B2" s="85" t="str">
        <f>"Discounted Cash Flow Analysis - "&amp;Div_1&amp;" (Unlevered DCF)"</f>
        <v>Discounted Cash Flow Analysis - Starlink (Unlevered DCF)</v>
      </c>
    </row>
    <row r="3" spans="2:18" x14ac:dyDescent="0.45">
      <c r="B3" s="116" t="s">
        <v>198</v>
      </c>
    </row>
    <row r="5" spans="2:18" x14ac:dyDescent="0.4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spans="2:18" x14ac:dyDescent="0.45">
      <c r="B6" s="8" t="str">
        <f>Div_1&amp;" - DCF Assumptions &amp; Output:"</f>
        <v>Starlink - DCF Assumptions &amp; Output:</v>
      </c>
      <c r="C6" s="8"/>
      <c r="D6" s="8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</row>
    <row r="7" spans="2:18" outlineLevel="1" x14ac:dyDescent="0.45"/>
    <row r="8" spans="2:18" outlineLevel="1" x14ac:dyDescent="0.45">
      <c r="C8" s="116" t="s">
        <v>194</v>
      </c>
      <c r="D8" s="26" t="s">
        <v>36</v>
      </c>
      <c r="E8" s="36" t="s">
        <v>195</v>
      </c>
      <c r="G8" s="10" t="s">
        <v>14</v>
      </c>
      <c r="H8" s="87"/>
      <c r="I8" s="87"/>
      <c r="J8" s="87"/>
      <c r="L8" s="10" t="s">
        <v>66</v>
      </c>
      <c r="M8" s="87"/>
      <c r="N8" s="87"/>
      <c r="O8" s="87"/>
    </row>
    <row r="9" spans="2:18" outlineLevel="1" x14ac:dyDescent="0.45">
      <c r="F9" s="214"/>
    </row>
    <row r="10" spans="2:18" outlineLevel="1" x14ac:dyDescent="0.45">
      <c r="C10" s="5" t="s">
        <v>209</v>
      </c>
      <c r="D10" s="25" t="s">
        <v>210</v>
      </c>
      <c r="E10" s="13">
        <f>YEARFRAC($G$29,$AA$29)</f>
        <v>20</v>
      </c>
      <c r="F10" s="77"/>
      <c r="G10" s="17" t="s">
        <v>232</v>
      </c>
    </row>
    <row r="11" spans="2:18" outlineLevel="1" x14ac:dyDescent="0.45">
      <c r="G11" s="14" t="str">
        <f>WACC!$B$25</f>
        <v>Satellite Companies:</v>
      </c>
      <c r="J11" s="119">
        <f>STLK_Comps!V17</f>
        <v>14.71</v>
      </c>
      <c r="L11" s="5" t="s">
        <v>62</v>
      </c>
      <c r="O11" s="89">
        <v>0.03</v>
      </c>
    </row>
    <row r="12" spans="2:18" outlineLevel="1" x14ac:dyDescent="0.45">
      <c r="C12" s="246" t="s">
        <v>52</v>
      </c>
      <c r="D12" s="25" t="s">
        <v>18</v>
      </c>
      <c r="E12" s="245">
        <f>Control!E19</f>
        <v>9.7578885639558646E-2</v>
      </c>
      <c r="G12" s="14" t="str">
        <f>WACC!$B$26</f>
        <v>High-Growth Telecoms:</v>
      </c>
      <c r="J12" s="119">
        <f>STLK_Comps!V31</f>
        <v>5.3250000000000002</v>
      </c>
    </row>
    <row r="13" spans="2:18" outlineLevel="1" x14ac:dyDescent="0.45">
      <c r="C13" s="246" t="s">
        <v>231</v>
      </c>
      <c r="D13" s="25" t="s">
        <v>18</v>
      </c>
      <c r="E13" s="245">
        <f>Control!E20</f>
        <v>2.296084200704146E-2</v>
      </c>
      <c r="G13" s="14" t="str">
        <f>WACC!$B$27</f>
        <v>Mature Telecoms:</v>
      </c>
      <c r="J13" s="119">
        <f>STLK_Comps!V45</f>
        <v>5.4749999999999996</v>
      </c>
    </row>
    <row r="14" spans="2:18" outlineLevel="1" x14ac:dyDescent="0.45">
      <c r="C14" s="246" t="s">
        <v>53</v>
      </c>
      <c r="D14" s="25" t="s">
        <v>18</v>
      </c>
      <c r="E14" s="245">
        <f>Control!E21</f>
        <v>7.4618043632517186E-2</v>
      </c>
    </row>
    <row r="15" spans="2:18" outlineLevel="1" x14ac:dyDescent="0.45">
      <c r="G15" s="17" t="s">
        <v>5</v>
      </c>
      <c r="L15" s="17" t="s">
        <v>7</v>
      </c>
      <c r="Q15" s="86"/>
      <c r="R15" s="86"/>
    </row>
    <row r="16" spans="2:18" outlineLevel="1" x14ac:dyDescent="0.45">
      <c r="G16" s="14" t="str">
        <f>Control!$C$26</f>
        <v>Elon</v>
      </c>
      <c r="J16" s="88">
        <v>11.540859997001643</v>
      </c>
      <c r="L16" s="14" t="str">
        <f>Control!$C$26</f>
        <v>Elon</v>
      </c>
      <c r="O16" s="89">
        <v>2.5000000000000001E-2</v>
      </c>
    </row>
    <row r="17" spans="2:27" outlineLevel="1" x14ac:dyDescent="0.45">
      <c r="G17" s="14" t="str">
        <f>Control!$C$27</f>
        <v>Optimistic</v>
      </c>
      <c r="J17" s="88">
        <v>9.521881523444824</v>
      </c>
      <c r="L17" s="14" t="str">
        <f>Control!$C$27</f>
        <v>Optimistic</v>
      </c>
      <c r="O17" s="89">
        <v>1.4999999999999999E-2</v>
      </c>
      <c r="Q17" s="11"/>
      <c r="R17" s="78"/>
    </row>
    <row r="18" spans="2:27" outlineLevel="1" x14ac:dyDescent="0.45">
      <c r="G18" s="15" t="str">
        <f>Control!$C$28</f>
        <v>Realistic</v>
      </c>
      <c r="H18" s="16"/>
      <c r="I18" s="16"/>
      <c r="J18" s="96">
        <v>8.0754585861988559</v>
      </c>
      <c r="L18" s="15" t="str">
        <f>Control!$C$28</f>
        <v>Realistic</v>
      </c>
      <c r="M18" s="16"/>
      <c r="N18" s="16"/>
      <c r="O18" s="94">
        <v>5.0000000000000001E-3</v>
      </c>
      <c r="R18" s="90"/>
    </row>
    <row r="19" spans="2:27" outlineLevel="1" x14ac:dyDescent="0.45">
      <c r="G19" s="17" t="s">
        <v>58</v>
      </c>
      <c r="J19" s="97">
        <f>INDEX(J16:J18,MATCH(Scenario,$G16:$G18,0))</f>
        <v>9.521881523444824</v>
      </c>
      <c r="L19" s="17" t="s">
        <v>57</v>
      </c>
      <c r="O19" s="95">
        <f>_xlfn.XLOOKUP(Scenario,$L16:$L18,O16:O18)</f>
        <v>1.4999999999999999E-2</v>
      </c>
      <c r="R19" s="79"/>
    </row>
    <row r="20" spans="2:27" outlineLevel="1" x14ac:dyDescent="0.45"/>
    <row r="21" spans="2:27" outlineLevel="1" x14ac:dyDescent="0.45">
      <c r="G21" s="5" t="s">
        <v>6</v>
      </c>
      <c r="J21" s="107">
        <f>AA106*J19</f>
        <v>540726.12946263573</v>
      </c>
      <c r="L21" s="5" t="s">
        <v>6</v>
      </c>
      <c r="O21" s="104">
        <f>AA96*(1+O19)/(E14-O19)</f>
        <v>544952.88432177482</v>
      </c>
      <c r="R21" s="91"/>
    </row>
    <row r="22" spans="2:27" outlineLevel="1" x14ac:dyDescent="0.45">
      <c r="G22" s="5" t="s">
        <v>8</v>
      </c>
      <c r="I22" s="11"/>
      <c r="J22" s="109">
        <f>(J21*E14-AA96)/(AA96+J21)</f>
        <v>1.4560021918672337E-2</v>
      </c>
      <c r="L22" s="5" t="s">
        <v>9</v>
      </c>
      <c r="O22" s="108">
        <f>O21/AA106</f>
        <v>9.5963122875681783</v>
      </c>
      <c r="R22" s="91"/>
    </row>
    <row r="23" spans="2:27" outlineLevel="1" x14ac:dyDescent="0.45">
      <c r="R23" s="80"/>
    </row>
    <row r="24" spans="2:27" outlineLevel="1" x14ac:dyDescent="0.45">
      <c r="G24" s="14" t="s">
        <v>15</v>
      </c>
      <c r="J24" s="105">
        <f>J21*$AA102</f>
        <v>103698.42078956257</v>
      </c>
      <c r="L24" s="14" t="str">
        <f>$G$24</f>
        <v>(+) PV of Terminal Value:</v>
      </c>
      <c r="O24" s="105">
        <f>O21*$AA102</f>
        <v>104509.01191892581</v>
      </c>
      <c r="R24" s="18"/>
    </row>
    <row r="25" spans="2:27" outlineLevel="1" x14ac:dyDescent="0.45">
      <c r="G25" s="15" t="s">
        <v>16</v>
      </c>
      <c r="H25" s="16"/>
      <c r="I25" s="16"/>
      <c r="J25" s="106">
        <f>SUM($H$104:$AA$104)</f>
        <v>126636.65182519873</v>
      </c>
      <c r="L25" s="15" t="str">
        <f>$G$25</f>
        <v>(+) Sum of PV of Free Cash Flows:</v>
      </c>
      <c r="M25" s="16"/>
      <c r="N25" s="16"/>
      <c r="O25" s="106">
        <f>SUM($H$104:$AA$104)</f>
        <v>126636.65182519873</v>
      </c>
      <c r="R25" s="81"/>
    </row>
    <row r="26" spans="2:27" outlineLevel="1" x14ac:dyDescent="0.45">
      <c r="G26" s="82" t="s">
        <v>12</v>
      </c>
      <c r="H26" s="83"/>
      <c r="I26" s="83"/>
      <c r="J26" s="121">
        <f>SUM(J24:J25)</f>
        <v>230335.0726147613</v>
      </c>
      <c r="L26" s="82" t="str">
        <f>$G$26</f>
        <v>Implied Enterprise Value:</v>
      </c>
      <c r="M26" s="83"/>
      <c r="N26" s="83"/>
      <c r="O26" s="121">
        <f>SUM(O24:O25)</f>
        <v>231145.66374412453</v>
      </c>
    </row>
    <row r="27" spans="2:27" x14ac:dyDescent="0.45">
      <c r="G27" s="13"/>
      <c r="I27" s="20"/>
      <c r="J27" s="13"/>
      <c r="K27" s="13"/>
      <c r="M27" s="13"/>
      <c r="N27" s="13"/>
      <c r="O27" s="13"/>
      <c r="P27" s="13"/>
    </row>
    <row r="28" spans="2:27" x14ac:dyDescent="0.45">
      <c r="B28" s="7"/>
      <c r="C28" s="7"/>
      <c r="D28" s="7"/>
      <c r="E28" s="21" t="str">
        <f>Control!$E$131</f>
        <v>Historical:</v>
      </c>
      <c r="F28" s="21"/>
      <c r="G28" s="22"/>
      <c r="H28" s="21" t="str">
        <f>Control!$H$131</f>
        <v>Projected:</v>
      </c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</row>
    <row r="29" spans="2:27" x14ac:dyDescent="0.45">
      <c r="B29" s="8" t="str">
        <f>Div_1&amp;" Drivers:"</f>
        <v>Starlink Drivers:</v>
      </c>
      <c r="C29" s="8"/>
      <c r="D29" s="24" t="str">
        <f>Control!$D$132</f>
        <v>Units:</v>
      </c>
      <c r="E29" s="2">
        <f>Control!$E$132</f>
        <v>45291</v>
      </c>
      <c r="F29" s="2">
        <f>Control!$F$132</f>
        <v>45657</v>
      </c>
      <c r="G29" s="3">
        <f>Control!$G$132</f>
        <v>46022</v>
      </c>
      <c r="H29" s="2">
        <f>Control!$H$132</f>
        <v>46387</v>
      </c>
      <c r="I29" s="4">
        <f>Control!$I$132</f>
        <v>46752</v>
      </c>
      <c r="J29" s="4">
        <f>Control!$J$132</f>
        <v>47118</v>
      </c>
      <c r="K29" s="4">
        <f>Control!$K$132</f>
        <v>47483</v>
      </c>
      <c r="L29" s="4">
        <f>Control!$L$132</f>
        <v>47848</v>
      </c>
      <c r="M29" s="4">
        <f>Control!$M$132</f>
        <v>48213</v>
      </c>
      <c r="N29" s="4">
        <f>Control!$N$132</f>
        <v>48579</v>
      </c>
      <c r="O29" s="4">
        <f>Control!$O$132</f>
        <v>48944</v>
      </c>
      <c r="P29" s="4">
        <f>Control!$P$132</f>
        <v>49309</v>
      </c>
      <c r="Q29" s="4">
        <f>Control!$Q$132</f>
        <v>49674</v>
      </c>
      <c r="R29" s="4">
        <f>Control!$R$132</f>
        <v>50040</v>
      </c>
      <c r="S29" s="4">
        <f>Control!$S$132</f>
        <v>50405</v>
      </c>
      <c r="T29" s="4">
        <f>Control!$T$132</f>
        <v>50770</v>
      </c>
      <c r="U29" s="4">
        <f>Control!$U$132</f>
        <v>51135</v>
      </c>
      <c r="V29" s="4">
        <f>Control!$V$132</f>
        <v>51501</v>
      </c>
      <c r="W29" s="4">
        <f>Control!$W$132</f>
        <v>51866</v>
      </c>
      <c r="X29" s="4">
        <f>Control!$X$132</f>
        <v>52231</v>
      </c>
      <c r="Y29" s="4">
        <f>Control!$Y$132</f>
        <v>52596</v>
      </c>
      <c r="Z29" s="4">
        <f>Control!$Z$132</f>
        <v>52962</v>
      </c>
      <c r="AA29" s="4">
        <f>Control!$AA$132</f>
        <v>53327</v>
      </c>
    </row>
    <row r="30" spans="2:27" outlineLevel="1" x14ac:dyDescent="0.45">
      <c r="B30" s="130"/>
      <c r="C30" s="131"/>
      <c r="D30" s="131"/>
      <c r="E30" s="131"/>
      <c r="F30" s="131"/>
      <c r="G30" s="131"/>
      <c r="H30" s="131"/>
      <c r="I30" s="131"/>
      <c r="J30" s="131"/>
      <c r="K30" s="131"/>
      <c r="L30" s="131"/>
      <c r="M30" s="131"/>
      <c r="N30" s="131"/>
      <c r="O30" s="131"/>
      <c r="P30" s="131"/>
      <c r="Q30" s="131"/>
      <c r="R30" s="131"/>
      <c r="S30" s="131"/>
      <c r="T30" s="131"/>
      <c r="U30" s="131"/>
      <c r="V30" s="131"/>
      <c r="W30" s="131"/>
      <c r="X30" s="131"/>
      <c r="Y30" s="131"/>
      <c r="Z30" s="131"/>
      <c r="AA30" s="131"/>
    </row>
    <row r="31" spans="2:27" outlineLevel="1" x14ac:dyDescent="0.45">
      <c r="C31" s="5" t="s">
        <v>77</v>
      </c>
      <c r="D31" s="25" t="s">
        <v>60</v>
      </c>
      <c r="E31" s="92">
        <v>380</v>
      </c>
      <c r="F31" s="92">
        <v>390</v>
      </c>
      <c r="G31" s="351">
        <f>Control!$E$23</f>
        <v>400</v>
      </c>
      <c r="H31" s="93">
        <f t="shared" ref="H31:AA31" si="0">G31*(1+H32)</f>
        <v>409.99999999999994</v>
      </c>
      <c r="I31" s="93">
        <f t="shared" si="0"/>
        <v>419.92631578947362</v>
      </c>
      <c r="J31" s="93">
        <f t="shared" si="0"/>
        <v>429.76143213296393</v>
      </c>
      <c r="K31" s="93">
        <f t="shared" si="0"/>
        <v>439.48761191281517</v>
      </c>
      <c r="L31" s="93">
        <f t="shared" si="0"/>
        <v>449.08694659406876</v>
      </c>
      <c r="M31" s="93">
        <f t="shared" si="0"/>
        <v>458.54140862762813</v>
      </c>
      <c r="N31" s="93">
        <f t="shared" si="0"/>
        <v>467.83290559192477</v>
      </c>
      <c r="O31" s="93">
        <f t="shared" si="0"/>
        <v>476.94333585871487</v>
      </c>
      <c r="P31" s="93">
        <f t="shared" si="0"/>
        <v>485.8546455550225</v>
      </c>
      <c r="Q31" s="93">
        <f t="shared" si="0"/>
        <v>494.5488865807439</v>
      </c>
      <c r="R31" s="93">
        <f t="shared" si="0"/>
        <v>503.00827543015134</v>
      </c>
      <c r="S31" s="93">
        <f t="shared" si="0"/>
        <v>511.21525255559067</v>
      </c>
      <c r="T31" s="93">
        <f t="shared" si="0"/>
        <v>519.15254200316429</v>
      </c>
      <c r="U31" s="93">
        <f t="shared" si="0"/>
        <v>526.80321104321092</v>
      </c>
      <c r="V31" s="93">
        <f t="shared" si="0"/>
        <v>534.1507295130242</v>
      </c>
      <c r="W31" s="93">
        <f t="shared" si="0"/>
        <v>541.17902858556397</v>
      </c>
      <c r="X31" s="93">
        <f t="shared" si="0"/>
        <v>547.87255867596434</v>
      </c>
      <c r="Y31" s="93">
        <f t="shared" si="0"/>
        <v>554.21634619747556</v>
      </c>
      <c r="Z31" s="93">
        <f t="shared" si="0"/>
        <v>560.19604888013248</v>
      </c>
      <c r="AA31" s="93">
        <f t="shared" si="0"/>
        <v>565.79800936893378</v>
      </c>
    </row>
    <row r="32" spans="2:27" outlineLevel="1" x14ac:dyDescent="0.45">
      <c r="C32" s="14" t="s">
        <v>61</v>
      </c>
      <c r="D32" s="25" t="s">
        <v>18</v>
      </c>
      <c r="E32" s="99">
        <v>2.5999999999999999E-2</v>
      </c>
      <c r="F32" s="12">
        <f>F31/E31-1</f>
        <v>2.6315789473684292E-2</v>
      </c>
      <c r="G32" s="12">
        <f>G31/F31-1</f>
        <v>2.564102564102555E-2</v>
      </c>
      <c r="H32" s="38">
        <v>2.5000000000000001E-2</v>
      </c>
      <c r="I32" s="38">
        <v>2.4210526315789474E-2</v>
      </c>
      <c r="J32" s="38">
        <v>2.342105263157895E-2</v>
      </c>
      <c r="K32" s="38">
        <v>2.2631578947368423E-2</v>
      </c>
      <c r="L32" s="38">
        <v>2.1842105263157899E-2</v>
      </c>
      <c r="M32" s="38">
        <v>2.1052631578947371E-2</v>
      </c>
      <c r="N32" s="38">
        <v>2.0263157894736844E-2</v>
      </c>
      <c r="O32" s="38">
        <v>1.947368421052632E-2</v>
      </c>
      <c r="P32" s="38">
        <v>1.8684210526315793E-2</v>
      </c>
      <c r="Q32" s="38">
        <v>1.7894736842105269E-2</v>
      </c>
      <c r="R32" s="38">
        <v>1.7105263157894741E-2</v>
      </c>
      <c r="S32" s="38">
        <v>1.6315789473684214E-2</v>
      </c>
      <c r="T32" s="38">
        <v>1.552631578947369E-2</v>
      </c>
      <c r="U32" s="38">
        <v>1.4736842105263165E-2</v>
      </c>
      <c r="V32" s="38">
        <v>1.3947368421052637E-2</v>
      </c>
      <c r="W32" s="38">
        <v>1.3157894736842111E-2</v>
      </c>
      <c r="X32" s="38">
        <v>1.2368421052631586E-2</v>
      </c>
      <c r="Y32" s="38">
        <v>1.157894736842106E-2</v>
      </c>
      <c r="Z32" s="38">
        <v>1.0789473684210535E-2</v>
      </c>
      <c r="AA32" s="38">
        <v>1.0000000000000007E-2</v>
      </c>
    </row>
    <row r="33" spans="3:27" outlineLevel="1" x14ac:dyDescent="0.45">
      <c r="H33" s="17"/>
      <c r="I33" s="17"/>
      <c r="J33" s="17"/>
      <c r="K33" s="17"/>
      <c r="L33" s="17"/>
    </row>
    <row r="34" spans="3:27" outlineLevel="1" x14ac:dyDescent="0.45">
      <c r="C34" s="5" t="s">
        <v>196</v>
      </c>
      <c r="D34" s="25" t="s">
        <v>19</v>
      </c>
      <c r="E34" s="92">
        <v>2.2999999999999998</v>
      </c>
      <c r="F34" s="92">
        <v>4.4000000000000004</v>
      </c>
      <c r="G34" s="92">
        <v>8.9</v>
      </c>
      <c r="H34" s="93">
        <f>H35*H31</f>
        <v>14.816374999999999</v>
      </c>
      <c r="I34" s="93">
        <f t="shared" ref="I34:AA34" si="1">I35*I31</f>
        <v>21.006813947368418</v>
      </c>
      <c r="J34" s="93">
        <f t="shared" si="1"/>
        <v>27.467127531198056</v>
      </c>
      <c r="K34" s="93">
        <f t="shared" si="1"/>
        <v>34.192136206817018</v>
      </c>
      <c r="L34" s="93">
        <f t="shared" si="1"/>
        <v>41.175659415843676</v>
      </c>
      <c r="M34" s="93">
        <f t="shared" si="1"/>
        <v>48.410509215861836</v>
      </c>
      <c r="N34" s="93">
        <f t="shared" si="1"/>
        <v>55.888488484275307</v>
      </c>
      <c r="O34" s="93">
        <f t="shared" si="1"/>
        <v>63.600393836759629</v>
      </c>
      <c r="P34" s="93">
        <f t="shared" si="1"/>
        <v>71.536023374907629</v>
      </c>
      <c r="Q34" s="93">
        <f t="shared" si="1"/>
        <v>79.684189350322356</v>
      </c>
      <c r="R34" s="93">
        <f t="shared" si="1"/>
        <v>88.032735803719362</v>
      </c>
      <c r="S34" s="93">
        <f t="shared" si="1"/>
        <v>96.568561207751074</v>
      </c>
      <c r="T34" s="93">
        <f t="shared" si="1"/>
        <v>105.27764611146667</v>
      </c>
      <c r="U34" s="93">
        <f t="shared" si="1"/>
        <v>114.14508575278772</v>
      </c>
      <c r="V34" s="93">
        <f t="shared" si="1"/>
        <v>123.15512757334663</v>
      </c>
      <c r="W34" s="93">
        <f t="shared" si="1"/>
        <v>132.2912135377411</v>
      </c>
      <c r="X34" s="93">
        <f t="shared" si="1"/>
        <v>141.53602712695195</v>
      </c>
      <c r="Y34" s="93">
        <f t="shared" si="1"/>
        <v>150.87154484360778</v>
      </c>
      <c r="Z34" s="93">
        <f t="shared" si="1"/>
        <v>160.27909203521691</v>
      </c>
      <c r="AA34" s="93">
        <f t="shared" si="1"/>
        <v>169.73940281068013</v>
      </c>
    </row>
    <row r="35" spans="3:27" outlineLevel="1" x14ac:dyDescent="0.45">
      <c r="C35" s="14" t="s">
        <v>78</v>
      </c>
      <c r="D35" s="25" t="s">
        <v>18</v>
      </c>
      <c r="E35" s="12">
        <f>E34/E31</f>
        <v>6.0526315789473676E-3</v>
      </c>
      <c r="F35" s="12">
        <f t="shared" ref="F35:G35" si="2">F34/F31</f>
        <v>1.1282051282051283E-2</v>
      </c>
      <c r="G35" s="12">
        <f t="shared" si="2"/>
        <v>2.2250000000000002E-2</v>
      </c>
      <c r="H35" s="218">
        <f>(Control!$E$25-STLK!$G$35)/STLK!$E$10+STLK!G35</f>
        <v>3.6137500000000003E-2</v>
      </c>
      <c r="I35" s="218">
        <f>(Control!$E$25-STLK!$G$35)/STLK!$E$10+STLK!H35</f>
        <v>5.0025E-2</v>
      </c>
      <c r="J35" s="218">
        <f>(Control!$E$25-STLK!$G$35)/STLK!$E$10+STLK!I35</f>
        <v>6.3912499999999997E-2</v>
      </c>
      <c r="K35" s="218">
        <f>(Control!$E$25-STLK!$G$35)/STLK!$E$10+STLK!J35</f>
        <v>7.7799999999999994E-2</v>
      </c>
      <c r="L35" s="218">
        <f>(Control!$E$25-STLK!$G$35)/STLK!$E$10+STLK!K35</f>
        <v>9.1687499999999991E-2</v>
      </c>
      <c r="M35" s="218">
        <f>(Control!$E$25-STLK!$G$35)/STLK!$E$10+STLK!L35</f>
        <v>0.10557499999999999</v>
      </c>
      <c r="N35" s="218">
        <f>(Control!$E$25-STLK!$G$35)/STLK!$E$10+STLK!M35</f>
        <v>0.11946249999999999</v>
      </c>
      <c r="O35" s="218">
        <f>(Control!$E$25-STLK!$G$35)/STLK!$E$10+STLK!N35</f>
        <v>0.13335</v>
      </c>
      <c r="P35" s="218">
        <f>(Control!$E$25-STLK!$G$35)/STLK!$E$10+STLK!O35</f>
        <v>0.14723749999999999</v>
      </c>
      <c r="Q35" s="218">
        <f>(Control!$E$25-STLK!$G$35)/STLK!$E$10+STLK!P35</f>
        <v>0.16112499999999999</v>
      </c>
      <c r="R35" s="218">
        <f>(Control!$E$25-STLK!$G$35)/STLK!$E$10+STLK!Q35</f>
        <v>0.17501249999999999</v>
      </c>
      <c r="S35" s="218">
        <f>(Control!$E$25-STLK!$G$35)/STLK!$E$10+STLK!R35</f>
        <v>0.18889999999999998</v>
      </c>
      <c r="T35" s="218">
        <f>(Control!$E$25-STLK!$G$35)/STLK!$E$10+STLK!S35</f>
        <v>0.20278749999999998</v>
      </c>
      <c r="U35" s="218">
        <f>(Control!$E$25-STLK!$G$35)/STLK!$E$10+STLK!T35</f>
        <v>0.21667499999999998</v>
      </c>
      <c r="V35" s="218">
        <f>(Control!$E$25-STLK!$G$35)/STLK!$E$10+STLK!U35</f>
        <v>0.23056249999999998</v>
      </c>
      <c r="W35" s="218">
        <f>(Control!$E$25-STLK!$G$35)/STLK!$E$10+STLK!V35</f>
        <v>0.24444999999999997</v>
      </c>
      <c r="X35" s="218">
        <f>(Control!$E$25-STLK!$G$35)/STLK!$E$10+STLK!W35</f>
        <v>0.2583375</v>
      </c>
      <c r="Y35" s="218">
        <f>(Control!$E$25-STLK!$G$35)/STLK!$E$10+STLK!X35</f>
        <v>0.27222499999999999</v>
      </c>
      <c r="Z35" s="218">
        <f>(Control!$E$25-STLK!$G$35)/STLK!$E$10+STLK!Y35</f>
        <v>0.28611249999999999</v>
      </c>
      <c r="AA35" s="218">
        <f>(Control!$E$25-STLK!$G$35)/STLK!$E$10+STLK!Z35</f>
        <v>0.3</v>
      </c>
    </row>
    <row r="36" spans="3:27" outlineLevel="1" x14ac:dyDescent="0.45">
      <c r="D36" s="25"/>
      <c r="E36" s="92"/>
      <c r="F36" s="133"/>
      <c r="G36" s="133"/>
      <c r="H36" s="133"/>
      <c r="I36" s="17"/>
      <c r="J36" s="17"/>
      <c r="K36" s="17"/>
      <c r="L36" s="17"/>
    </row>
    <row r="37" spans="3:27" outlineLevel="1" x14ac:dyDescent="0.45">
      <c r="C37" s="5" t="s">
        <v>197</v>
      </c>
      <c r="D37" s="26" t="s">
        <v>69</v>
      </c>
      <c r="E37" s="125">
        <v>99</v>
      </c>
      <c r="F37" s="125">
        <v>91</v>
      </c>
      <c r="G37" s="125">
        <v>81</v>
      </c>
      <c r="H37" s="124">
        <f>G37*(1+H38)</f>
        <v>72.908901098901097</v>
      </c>
      <c r="I37" s="124">
        <f t="shared" ref="I37:AA37" si="3">H37*(1+I38)</f>
        <v>66.355111967153718</v>
      </c>
      <c r="J37" s="124">
        <f t="shared" si="3"/>
        <v>61.053994780327258</v>
      </c>
      <c r="K37" s="124">
        <f t="shared" si="3"/>
        <v>56.786924375899993</v>
      </c>
      <c r="L37" s="124">
        <f t="shared" si="3"/>
        <v>53.385949234705976</v>
      </c>
      <c r="M37" s="124">
        <f t="shared" si="3"/>
        <v>50.716651772970671</v>
      </c>
      <c r="N37" s="124">
        <f t="shared" si="3"/>
        <v>48.180819184322132</v>
      </c>
      <c r="O37" s="124">
        <f t="shared" si="3"/>
        <v>45.771778225106026</v>
      </c>
      <c r="P37" s="124">
        <f t="shared" si="3"/>
        <v>43.483189313850723</v>
      </c>
      <c r="Q37" s="124">
        <f t="shared" si="3"/>
        <v>41.309029848158183</v>
      </c>
      <c r="R37" s="124">
        <f t="shared" si="3"/>
        <v>39.243578355750273</v>
      </c>
      <c r="S37" s="124">
        <f t="shared" si="3"/>
        <v>37.281399437962754</v>
      </c>
      <c r="T37" s="124">
        <f t="shared" si="3"/>
        <v>35.417329466064615</v>
      </c>
      <c r="U37" s="124">
        <f t="shared" si="3"/>
        <v>33.646462992761386</v>
      </c>
      <c r="V37" s="124">
        <f t="shared" si="3"/>
        <v>31.964139843123316</v>
      </c>
      <c r="W37" s="124">
        <f t="shared" si="3"/>
        <v>30.365932850967148</v>
      </c>
      <c r="X37" s="124">
        <f t="shared" si="3"/>
        <v>28.847636208418791</v>
      </c>
      <c r="Y37" s="124">
        <f t="shared" si="3"/>
        <v>27.405254397997851</v>
      </c>
      <c r="Z37" s="124">
        <f t="shared" si="3"/>
        <v>26.034991678097956</v>
      </c>
      <c r="AA37" s="124">
        <f t="shared" si="3"/>
        <v>24.733242094193056</v>
      </c>
    </row>
    <row r="38" spans="3:27" outlineLevel="1" x14ac:dyDescent="0.45">
      <c r="C38" s="14" t="s">
        <v>13</v>
      </c>
      <c r="D38" s="25" t="s">
        <v>18</v>
      </c>
      <c r="E38" s="12" t="str">
        <f>IFERROR(E37/D37-1, "N/A")</f>
        <v>N/A</v>
      </c>
      <c r="F38" s="12">
        <f>IFERROR(F37/E37-1, "N/A")</f>
        <v>-8.0808080808080773E-2</v>
      </c>
      <c r="G38" s="12">
        <f>IFERROR(G37/F37-1, "N/A")</f>
        <v>-0.10989010989010994</v>
      </c>
      <c r="H38" s="218">
        <f>MIN(G38+Control!$E$30,Control!$E$31)</f>
        <v>-9.9890109890109949E-2</v>
      </c>
      <c r="I38" s="218">
        <f>MIN(H38+Control!$E$30,Control!$E$31)</f>
        <v>-8.9890109890109954E-2</v>
      </c>
      <c r="J38" s="218">
        <f>MIN(I38+Control!$E$30,Control!$E$31)</f>
        <v>-7.9890109890109959E-2</v>
      </c>
      <c r="K38" s="218">
        <f>MIN(J38+Control!$E$30,Control!$E$31)</f>
        <v>-6.9890109890109964E-2</v>
      </c>
      <c r="L38" s="218">
        <f>MIN(K38+Control!$E$30,Control!$E$31)</f>
        <v>-5.9890109890109962E-2</v>
      </c>
      <c r="M38" s="218">
        <f>MIN(L38+Control!$E$30,Control!$E$31)</f>
        <v>-0.05</v>
      </c>
      <c r="N38" s="218">
        <f>MIN(M38+Control!$E$30,Control!$E$31)</f>
        <v>-0.05</v>
      </c>
      <c r="O38" s="218">
        <f>MIN(N38+Control!$E$30,Control!$E$31)</f>
        <v>-0.05</v>
      </c>
      <c r="P38" s="218">
        <f>MIN(O38+Control!$E$30,Control!$E$31)</f>
        <v>-0.05</v>
      </c>
      <c r="Q38" s="218">
        <f>MIN(P38+Control!$E$30,Control!$E$31)</f>
        <v>-0.05</v>
      </c>
      <c r="R38" s="218">
        <f>MIN(Q38+Control!$E$30,Control!$E$31)</f>
        <v>-0.05</v>
      </c>
      <c r="S38" s="218">
        <f>MIN(R38+Control!$E$30,Control!$E$31)</f>
        <v>-0.05</v>
      </c>
      <c r="T38" s="218">
        <f>MIN(S38+Control!$E$30,Control!$E$31)</f>
        <v>-0.05</v>
      </c>
      <c r="U38" s="218">
        <f>MIN(T38+Control!$E$30,Control!$E$31)</f>
        <v>-0.05</v>
      </c>
      <c r="V38" s="218">
        <f>MIN(U38+Control!$E$30,Control!$E$31)</f>
        <v>-0.05</v>
      </c>
      <c r="W38" s="218">
        <f>MIN(V38+Control!$E$30,Control!$E$31)</f>
        <v>-0.05</v>
      </c>
      <c r="X38" s="218">
        <f>MIN(W38+Control!$E$30,Control!$E$31)</f>
        <v>-0.05</v>
      </c>
      <c r="Y38" s="218">
        <f>MIN(X38+Control!$E$30,Control!$E$31)</f>
        <v>-0.05</v>
      </c>
      <c r="Z38" s="218">
        <f>MIN(Y38+Control!$E$30,Control!$E$31)</f>
        <v>-0.05</v>
      </c>
      <c r="AA38" s="218">
        <f>MIN(Z38+Control!$E$30,Control!$E$31)</f>
        <v>-0.05</v>
      </c>
    </row>
    <row r="39" spans="3:27" outlineLevel="1" x14ac:dyDescent="0.45">
      <c r="D39" s="26"/>
      <c r="E39" s="125"/>
      <c r="F39" s="125"/>
      <c r="G39" s="125"/>
      <c r="H39" s="17"/>
      <c r="I39" s="17"/>
      <c r="J39" s="17"/>
      <c r="K39" s="17"/>
      <c r="L39" s="17"/>
    </row>
    <row r="40" spans="3:27" outlineLevel="1" x14ac:dyDescent="0.45">
      <c r="C40" s="5" t="s">
        <v>73</v>
      </c>
      <c r="D40" s="25" t="s">
        <v>20</v>
      </c>
      <c r="E40" s="122"/>
      <c r="F40" s="129">
        <f t="shared" ref="F40:AA40" si="4">AVERAGE(E34,F34)*F37*Months</f>
        <v>3658.2000000000003</v>
      </c>
      <c r="G40" s="129">
        <f t="shared" si="4"/>
        <v>6463.7999999999993</v>
      </c>
      <c r="H40" s="129">
        <f t="shared" si="4"/>
        <v>10374.809035796703</v>
      </c>
      <c r="I40" s="129">
        <f t="shared" si="4"/>
        <v>14262.310281738808</v>
      </c>
      <c r="J40" s="129">
        <f t="shared" si="4"/>
        <v>17757.166620085718</v>
      </c>
      <c r="K40" s="129">
        <f t="shared" si="4"/>
        <v>21008.639681786008</v>
      </c>
      <c r="L40" s="129">
        <f t="shared" si="4"/>
        <v>24141.487866258354</v>
      </c>
      <c r="M40" s="129">
        <f t="shared" si="4"/>
        <v>27261.063109013019</v>
      </c>
      <c r="N40" s="129">
        <f t="shared" si="4"/>
        <v>30151.266895778026</v>
      </c>
      <c r="O40" s="129">
        <f t="shared" si="4"/>
        <v>32815.311731785223</v>
      </c>
      <c r="P40" s="129">
        <f t="shared" si="4"/>
        <v>35256.974476862655</v>
      </c>
      <c r="Q40" s="129">
        <f t="shared" si="4"/>
        <v>37480.561686668138</v>
      </c>
      <c r="R40" s="129">
        <f t="shared" si="4"/>
        <v>39490.873763208838</v>
      </c>
      <c r="S40" s="129">
        <f t="shared" si="4"/>
        <v>41293.168143903778</v>
      </c>
      <c r="T40" s="129">
        <f t="shared" si="4"/>
        <v>42893.121756601904</v>
      </c>
      <c r="U40" s="129">
        <f t="shared" si="4"/>
        <v>44296.792964647437</v>
      </c>
      <c r="V40" s="129">
        <f t="shared" si="4"/>
        <v>45510.583221357316</v>
      </c>
      <c r="W40" s="129">
        <f t="shared" si="4"/>
        <v>46541.198647227233</v>
      </c>
      <c r="X40" s="129">
        <f t="shared" si="4"/>
        <v>47395.611735901228</v>
      </c>
      <c r="Y40" s="129">
        <f t="shared" si="4"/>
        <v>48081.023386524335</v>
      </c>
      <c r="Z40" s="129">
        <f t="shared" si="4"/>
        <v>48604.825450650475</v>
      </c>
      <c r="AA40" s="129">
        <f t="shared" si="4"/>
        <v>48974.563971508658</v>
      </c>
    </row>
    <row r="41" spans="3:27" outlineLevel="1" x14ac:dyDescent="0.45">
      <c r="C41" s="5" t="s">
        <v>213</v>
      </c>
      <c r="D41" s="25" t="s">
        <v>20</v>
      </c>
      <c r="F41" s="101">
        <f>F53-F40</f>
        <v>1171.7999999999997</v>
      </c>
      <c r="G41" s="101">
        <f>G53-G40</f>
        <v>744.20000000000073</v>
      </c>
      <c r="H41" s="101">
        <f>H42*H40</f>
        <v>1037.4809035796704</v>
      </c>
      <c r="I41" s="101">
        <f t="shared" ref="I41:AA41" si="5">I42*I40</f>
        <v>1283.6079253564926</v>
      </c>
      <c r="J41" s="101">
        <f t="shared" si="5"/>
        <v>1420.5733296068574</v>
      </c>
      <c r="K41" s="101">
        <f t="shared" si="5"/>
        <v>1470.6047777250208</v>
      </c>
      <c r="L41" s="101">
        <f t="shared" si="5"/>
        <v>1448.4892719755012</v>
      </c>
      <c r="M41" s="101">
        <f t="shared" si="5"/>
        <v>1363.053155450651</v>
      </c>
      <c r="N41" s="101">
        <f t="shared" si="5"/>
        <v>1507.5633447889013</v>
      </c>
      <c r="O41" s="101">
        <f t="shared" si="5"/>
        <v>1640.7655865892611</v>
      </c>
      <c r="P41" s="101">
        <f t="shared" si="5"/>
        <v>1762.8487238431328</v>
      </c>
      <c r="Q41" s="101">
        <f t="shared" si="5"/>
        <v>1874.0280843334069</v>
      </c>
      <c r="R41" s="101">
        <f t="shared" si="5"/>
        <v>1974.5436881604419</v>
      </c>
      <c r="S41" s="101">
        <f t="shared" si="5"/>
        <v>2064.6584071951888</v>
      </c>
      <c r="T41" s="101">
        <f t="shared" si="5"/>
        <v>2144.6560878300952</v>
      </c>
      <c r="U41" s="101">
        <f t="shared" si="5"/>
        <v>2214.8396482323719</v>
      </c>
      <c r="V41" s="101">
        <f t="shared" si="5"/>
        <v>2275.529161067866</v>
      </c>
      <c r="W41" s="101">
        <f t="shared" si="5"/>
        <v>2327.0599323613619</v>
      </c>
      <c r="X41" s="101">
        <f t="shared" si="5"/>
        <v>2369.7805867950615</v>
      </c>
      <c r="Y41" s="101">
        <f t="shared" si="5"/>
        <v>2404.051169326217</v>
      </c>
      <c r="Z41" s="101">
        <f t="shared" si="5"/>
        <v>2430.2412725325239</v>
      </c>
      <c r="AA41" s="101">
        <f t="shared" si="5"/>
        <v>2448.728198575433</v>
      </c>
    </row>
    <row r="42" spans="3:27" outlineLevel="1" x14ac:dyDescent="0.45">
      <c r="C42" s="14" t="s">
        <v>74</v>
      </c>
      <c r="D42" s="25" t="s">
        <v>18</v>
      </c>
      <c r="E42" s="12" t="str">
        <f>IFERROR(E41/E40, "N/A")</f>
        <v>N/A</v>
      </c>
      <c r="F42" s="12">
        <f>IFERROR(F41/F40, "N/A")</f>
        <v>0.3203214695752008</v>
      </c>
      <c r="G42" s="12">
        <f>IFERROR(G41/G40, "N/A")</f>
        <v>0.11513351279433164</v>
      </c>
      <c r="H42" s="38">
        <v>0.1</v>
      </c>
      <c r="I42" s="38">
        <v>0.09</v>
      </c>
      <c r="J42" s="38">
        <v>0.08</v>
      </c>
      <c r="K42" s="38">
        <v>7.0000000000000007E-2</v>
      </c>
      <c r="L42" s="38">
        <v>0.06</v>
      </c>
      <c r="M42" s="38">
        <v>0.05</v>
      </c>
      <c r="N42" s="38">
        <v>0.05</v>
      </c>
      <c r="O42" s="38">
        <v>0.05</v>
      </c>
      <c r="P42" s="38">
        <v>0.05</v>
      </c>
      <c r="Q42" s="38">
        <v>0.05</v>
      </c>
      <c r="R42" s="38">
        <v>0.05</v>
      </c>
      <c r="S42" s="38">
        <v>0.05</v>
      </c>
      <c r="T42" s="38">
        <v>0.05</v>
      </c>
      <c r="U42" s="38">
        <v>0.05</v>
      </c>
      <c r="V42" s="38">
        <v>0.05</v>
      </c>
      <c r="W42" s="38">
        <v>0.05</v>
      </c>
      <c r="X42" s="38">
        <v>0.05</v>
      </c>
      <c r="Y42" s="38">
        <v>0.05</v>
      </c>
      <c r="Z42" s="38">
        <v>0.05</v>
      </c>
      <c r="AA42" s="38">
        <v>0.05</v>
      </c>
    </row>
    <row r="43" spans="3:27" outlineLevel="1" x14ac:dyDescent="0.45">
      <c r="G43" s="37"/>
      <c r="H43" s="17"/>
      <c r="I43" s="17"/>
      <c r="J43" s="17"/>
      <c r="K43" s="17"/>
      <c r="L43" s="17"/>
    </row>
    <row r="44" spans="3:27" outlineLevel="1" x14ac:dyDescent="0.45">
      <c r="C44" s="5" t="s">
        <v>79</v>
      </c>
      <c r="D44" s="25" t="s">
        <v>83</v>
      </c>
      <c r="E44" s="98">
        <f>28000+107745</f>
        <v>135745</v>
      </c>
      <c r="F44" s="98">
        <f>28600+109898</f>
        <v>138498</v>
      </c>
      <c r="G44" s="352">
        <f>Control!E33</f>
        <v>142495</v>
      </c>
      <c r="H44" s="98">
        <f>G44*(1+H45)</f>
        <v>147482.32499999998</v>
      </c>
      <c r="I44" s="98">
        <f t="shared" ref="I44:AA44" si="6">H44*(1+I45)</f>
        <v>152527.77296052629</v>
      </c>
      <c r="J44" s="98">
        <f t="shared" si="6"/>
        <v>157625.41168841757</v>
      </c>
      <c r="K44" s="98">
        <f t="shared" si="6"/>
        <v>162768.9777540396</v>
      </c>
      <c r="L44" s="98">
        <f t="shared" si="6"/>
        <v>167951.88467726033</v>
      </c>
      <c r="M44" s="98">
        <f t="shared" si="6"/>
        <v>173167.23267513316</v>
      </c>
      <c r="N44" s="98">
        <f t="shared" si="6"/>
        <v>178407.81997977532</v>
      </c>
      <c r="O44" s="98">
        <f t="shared" si="6"/>
        <v>183666.15572654764</v>
      </c>
      <c r="P44" s="98">
        <f t="shared" si="6"/>
        <v>188934.47440396706</v>
      </c>
      <c r="Q44" s="98">
        <f t="shared" si="6"/>
        <v>194204.75184786718</v>
      </c>
      <c r="R44" s="98">
        <f t="shared" si="6"/>
        <v>199468.72275321727</v>
      </c>
      <c r="S44" s="98">
        <f t="shared" si="6"/>
        <v>204717.89966777564</v>
      </c>
      <c r="T44" s="98">
        <f t="shared" si="6"/>
        <v>209943.59342245306</v>
      </c>
      <c r="U44" s="98">
        <f t="shared" si="6"/>
        <v>215136.93494395586</v>
      </c>
      <c r="V44" s="98">
        <f t="shared" si="6"/>
        <v>220288.89838603482</v>
      </c>
      <c r="W44" s="98">
        <f t="shared" si="6"/>
        <v>225390.32550655352</v>
      </c>
      <c r="X44" s="98">
        <f t="shared" si="6"/>
        <v>230431.9512086738</v>
      </c>
      <c r="Y44" s="98">
        <f t="shared" si="6"/>
        <v>235404.43015580837</v>
      </c>
      <c r="Z44" s="98">
        <f t="shared" si="6"/>
        <v>240298.36436167909</v>
      </c>
      <c r="AA44" s="98">
        <f t="shared" si="6"/>
        <v>245104.33164891269</v>
      </c>
    </row>
    <row r="45" spans="3:27" outlineLevel="1" x14ac:dyDescent="0.45">
      <c r="C45" s="14" t="s">
        <v>13</v>
      </c>
      <c r="D45" s="25" t="s">
        <v>18</v>
      </c>
      <c r="E45" s="12">
        <f>E44/(104827+23500)-1</f>
        <v>5.780545013909788E-2</v>
      </c>
      <c r="F45" s="12">
        <f>F44/E44-1</f>
        <v>2.0280673321301013E-2</v>
      </c>
      <c r="G45" s="12">
        <f>G44/F44-1</f>
        <v>2.8859622521624884E-2</v>
      </c>
      <c r="H45" s="38">
        <v>3.5000000000000003E-2</v>
      </c>
      <c r="I45" s="38">
        <v>3.4210526315789476E-2</v>
      </c>
      <c r="J45" s="38">
        <v>3.3421052631578949E-2</v>
      </c>
      <c r="K45" s="38">
        <v>3.2631578947368421E-2</v>
      </c>
      <c r="L45" s="38">
        <v>3.1842105263157894E-2</v>
      </c>
      <c r="M45" s="38">
        <v>3.1052631578947366E-2</v>
      </c>
      <c r="N45" s="38">
        <v>3.0263157894736843E-2</v>
      </c>
      <c r="O45" s="38">
        <v>2.9473684210526315E-2</v>
      </c>
      <c r="P45" s="38">
        <v>2.8684210526315788E-2</v>
      </c>
      <c r="Q45" s="38">
        <v>2.789473684210526E-2</v>
      </c>
      <c r="R45" s="38">
        <v>2.7105263157894733E-2</v>
      </c>
      <c r="S45" s="38">
        <v>2.6315789473684209E-2</v>
      </c>
      <c r="T45" s="38">
        <v>2.5526315789473682E-2</v>
      </c>
      <c r="U45" s="38">
        <v>2.4736842105263154E-2</v>
      </c>
      <c r="V45" s="38">
        <v>2.3947368421052627E-2</v>
      </c>
      <c r="W45" s="38">
        <v>2.31578947368421E-2</v>
      </c>
      <c r="X45" s="38">
        <v>2.2368421052631572E-2</v>
      </c>
      <c r="Y45" s="38">
        <v>2.1578947368421045E-2</v>
      </c>
      <c r="Z45" s="38">
        <v>2.0789473684210517E-2</v>
      </c>
      <c r="AA45" s="38">
        <v>1.999999999999999E-2</v>
      </c>
    </row>
    <row r="46" spans="3:27" outlineLevel="1" x14ac:dyDescent="0.45">
      <c r="G46" s="37"/>
      <c r="H46" s="17"/>
      <c r="I46" s="17"/>
      <c r="J46" s="17"/>
      <c r="K46" s="17"/>
      <c r="L46" s="17"/>
    </row>
    <row r="47" spans="3:27" outlineLevel="1" x14ac:dyDescent="0.45">
      <c r="C47" s="5" t="s">
        <v>80</v>
      </c>
      <c r="D47" s="26" t="s">
        <v>81</v>
      </c>
      <c r="E47" s="132">
        <v>9500</v>
      </c>
      <c r="F47" s="132">
        <v>9800</v>
      </c>
      <c r="G47" s="132">
        <v>10000</v>
      </c>
      <c r="H47" s="134">
        <f>G47*(1+H48)</f>
        <v>10250</v>
      </c>
      <c r="I47" s="134">
        <f t="shared" ref="I47" si="7">H47*(1+I48)</f>
        <v>10498.157894736842</v>
      </c>
      <c r="J47" s="134">
        <f t="shared" ref="J47" si="8">I47*(1+J48)</f>
        <v>10744.035803324099</v>
      </c>
      <c r="K47" s="134">
        <f t="shared" ref="K47" si="9">J47*(1+K48)</f>
        <v>10987.19029782038</v>
      </c>
      <c r="L47" s="134">
        <f t="shared" ref="L47" si="10">K47*(1+L48)</f>
        <v>11227.17366485172</v>
      </c>
      <c r="M47" s="134">
        <f t="shared" ref="M47" si="11">L47*(1+M48)</f>
        <v>11463.535215690705</v>
      </c>
      <c r="N47" s="134">
        <f t="shared" ref="N47" si="12">M47*(1+N48)</f>
        <v>11695.822639798122</v>
      </c>
      <c r="O47" s="134">
        <f t="shared" ref="O47" si="13">N47*(1+O48)</f>
        <v>11923.583396467875</v>
      </c>
      <c r="P47" s="134">
        <f t="shared" ref="P47" si="14">O47*(1+P48)</f>
        <v>12146.366138875565</v>
      </c>
      <c r="Q47" s="134">
        <f t="shared" ref="Q47" si="15">P47*(1+Q48)</f>
        <v>12363.7221645186</v>
      </c>
      <c r="R47" s="134">
        <f t="shared" ref="R47" si="16">Q47*(1+R48)</f>
        <v>12575.206885753787</v>
      </c>
      <c r="S47" s="134">
        <f t="shared" ref="S47" si="17">R47*(1+S48)</f>
        <v>12780.381313889771</v>
      </c>
      <c r="T47" s="134">
        <f t="shared" ref="T47" si="18">S47*(1+T48)</f>
        <v>12978.813550079112</v>
      </c>
      <c r="U47" s="134">
        <f t="shared" ref="U47" si="19">T47*(1+U48)</f>
        <v>13170.080276080278</v>
      </c>
      <c r="V47" s="134">
        <f t="shared" ref="V47" si="20">U47*(1+V48)</f>
        <v>13353.768237825609</v>
      </c>
      <c r="W47" s="134">
        <f t="shared" ref="W47" si="21">V47*(1+W48)</f>
        <v>13529.475714639102</v>
      </c>
      <c r="X47" s="134">
        <f t="shared" ref="X47" si="22">W47*(1+X48)</f>
        <v>13696.813966899112</v>
      </c>
      <c r="Y47" s="134">
        <f t="shared" ref="Y47" si="23">X47*(1+Y48)</f>
        <v>13855.408654936891</v>
      </c>
      <c r="Z47" s="134">
        <f t="shared" ref="Z47" si="24">Y47*(1+Z48)</f>
        <v>14004.901222003315</v>
      </c>
      <c r="AA47" s="134">
        <f t="shared" ref="AA47" si="25">Z47*(1+AA48)</f>
        <v>14144.950234223348</v>
      </c>
    </row>
    <row r="48" spans="3:27" outlineLevel="1" x14ac:dyDescent="0.45">
      <c r="C48" s="14" t="s">
        <v>13</v>
      </c>
      <c r="D48" s="25" t="s">
        <v>18</v>
      </c>
      <c r="E48" s="12">
        <f>E47/9300-1</f>
        <v>2.1505376344086002E-2</v>
      </c>
      <c r="F48" s="12">
        <f>F47/E47-1</f>
        <v>3.1578947368421151E-2</v>
      </c>
      <c r="G48" s="12">
        <f>G47/F47-1</f>
        <v>2.0408163265306145E-2</v>
      </c>
      <c r="H48" s="275">
        <f>Control!$E$40</f>
        <v>2.5000000000000001E-2</v>
      </c>
      <c r="I48" s="218">
        <f>H48-(Control!$E$40-Control!$E$41)/(STLK!$E$10-1)</f>
        <v>2.4210526315789474E-2</v>
      </c>
      <c r="J48" s="218">
        <f>I48-(Control!$E$40-Control!$E$41)/(STLK!$E$10-1)</f>
        <v>2.3421052631578947E-2</v>
      </c>
      <c r="K48" s="218">
        <f>J48-(Control!$E$40-Control!$E$41)/(STLK!$E$10-1)</f>
        <v>2.2631578947368419E-2</v>
      </c>
      <c r="L48" s="218">
        <f>K48-(Control!$E$40-Control!$E$41)/(STLK!$E$10-1)</f>
        <v>2.1842105263157892E-2</v>
      </c>
      <c r="M48" s="218">
        <f>L48-(Control!$E$40-Control!$E$41)/(STLK!$E$10-1)</f>
        <v>2.1052631578947364E-2</v>
      </c>
      <c r="N48" s="218">
        <f>M48-(Control!$E$40-Control!$E$41)/(STLK!$E$10-1)</f>
        <v>2.0263157894736837E-2</v>
      </c>
      <c r="O48" s="218">
        <f>N48-(Control!$E$40-Control!$E$41)/(STLK!$E$10-1)</f>
        <v>1.947368421052631E-2</v>
      </c>
      <c r="P48" s="218">
        <f>O48-(Control!$E$40-Control!$E$41)/(STLK!$E$10-1)</f>
        <v>1.8684210526315782E-2</v>
      </c>
      <c r="Q48" s="218">
        <f>P48-(Control!$E$40-Control!$E$41)/(STLK!$E$10-1)</f>
        <v>1.7894736842105255E-2</v>
      </c>
      <c r="R48" s="218">
        <f>Q48-(Control!$E$40-Control!$E$41)/(STLK!$E$10-1)</f>
        <v>1.7105263157894728E-2</v>
      </c>
      <c r="S48" s="218">
        <f>R48-(Control!$E$40-Control!$E$41)/(STLK!$E$10-1)</f>
        <v>1.63157894736842E-2</v>
      </c>
      <c r="T48" s="218">
        <f>S48-(Control!$E$40-Control!$E$41)/(STLK!$E$10-1)</f>
        <v>1.5526315789473675E-2</v>
      </c>
      <c r="U48" s="218">
        <f>T48-(Control!$E$40-Control!$E$41)/(STLK!$E$10-1)</f>
        <v>1.4736842105263149E-2</v>
      </c>
      <c r="V48" s="218">
        <f>U48-(Control!$E$40-Control!$E$41)/(STLK!$E$10-1)</f>
        <v>1.3947368421052623E-2</v>
      </c>
      <c r="W48" s="218">
        <f>V48-(Control!$E$40-Control!$E$41)/(STLK!$E$10-1)</f>
        <v>1.3157894736842098E-2</v>
      </c>
      <c r="X48" s="218">
        <f>W48-(Control!$E$40-Control!$E$41)/(STLK!$E$10-1)</f>
        <v>1.2368421052631572E-2</v>
      </c>
      <c r="Y48" s="218">
        <f>X48-(Control!$E$40-Control!$E$41)/(STLK!$E$10-1)</f>
        <v>1.1578947368421046E-2</v>
      </c>
      <c r="Z48" s="218">
        <f>Y48-(Control!$E$40-Control!$E$41)/(STLK!$E$10-1)</f>
        <v>1.0789473684210521E-2</v>
      </c>
      <c r="AA48" s="218">
        <f>Z48-(Control!$E$40-Control!$E$41)/(STLK!$E$10-1)</f>
        <v>9.999999999999995E-3</v>
      </c>
    </row>
    <row r="49" spans="3:27" outlineLevel="1" x14ac:dyDescent="0.45">
      <c r="G49" s="37"/>
      <c r="H49" s="17"/>
      <c r="I49" s="17"/>
      <c r="J49" s="17"/>
      <c r="K49" s="17"/>
      <c r="L49" s="17"/>
    </row>
    <row r="50" spans="3:27" outlineLevel="1" x14ac:dyDescent="0.45">
      <c r="C50" s="5" t="s">
        <v>82</v>
      </c>
      <c r="D50" s="25" t="s">
        <v>83</v>
      </c>
      <c r="E50" s="98">
        <f>E54/(E47*Months)*Units</f>
        <v>9228.0701754385973</v>
      </c>
      <c r="F50" s="98">
        <f>F54/(F47*Months)*Units</f>
        <v>23545.918367346942</v>
      </c>
      <c r="G50" s="98">
        <f>G54/(G47*Months)*Units</f>
        <v>34825</v>
      </c>
      <c r="H50" s="98">
        <f>H51*H44</f>
        <v>38666.150999999998</v>
      </c>
      <c r="I50" s="98">
        <f t="shared" ref="I50:AA50" si="26">I51*I44</f>
        <v>42700.925818421048</v>
      </c>
      <c r="J50" s="98">
        <f t="shared" si="26"/>
        <v>46930.658557917595</v>
      </c>
      <c r="K50" s="98">
        <f t="shared" si="26"/>
        <v>51356.156906803539</v>
      </c>
      <c r="L50" s="98">
        <f t="shared" si="26"/>
        <v>55977.675420029664</v>
      </c>
      <c r="M50" s="98">
        <f t="shared" si="26"/>
        <v>60794.890221732829</v>
      </c>
      <c r="N50" s="98">
        <f t="shared" si="26"/>
        <v>65806.875326860521</v>
      </c>
      <c r="O50" s="98">
        <f t="shared" si="26"/>
        <v>71012.080777341485</v>
      </c>
      <c r="P50" s="98">
        <f t="shared" si="26"/>
        <v>76408.312784779657</v>
      </c>
      <c r="Q50" s="98">
        <f t="shared" si="26"/>
        <v>81992.716066665802</v>
      </c>
      <c r="R50" s="98">
        <f t="shared" si="26"/>
        <v>87761.758556608038</v>
      </c>
      <c r="S50" s="98">
        <f t="shared" si="26"/>
        <v>93711.218661073086</v>
      </c>
      <c r="T50" s="98">
        <f t="shared" si="26"/>
        <v>99836.175225612038</v>
      </c>
      <c r="U50" s="98">
        <f t="shared" si="26"/>
        <v>106131.00036253457</v>
      </c>
      <c r="V50" s="98">
        <f t="shared" si="26"/>
        <v>112589.35527952938</v>
      </c>
      <c r="W50" s="98">
        <f t="shared" si="26"/>
        <v>119204.18923485173</v>
      </c>
      <c r="X50" s="98">
        <f t="shared" si="26"/>
        <v>125967.74172947192</v>
      </c>
      <c r="Y50" s="98">
        <f t="shared" si="26"/>
        <v>132871.54803007573</v>
      </c>
      <c r="Z50" s="98">
        <f t="shared" si="26"/>
        <v>139906.44809911738</v>
      </c>
      <c r="AA50" s="98">
        <f t="shared" si="26"/>
        <v>147062.59898934764</v>
      </c>
    </row>
    <row r="51" spans="3:27" outlineLevel="1" x14ac:dyDescent="0.45">
      <c r="C51" s="14" t="s">
        <v>78</v>
      </c>
      <c r="D51" s="25" t="s">
        <v>18</v>
      </c>
      <c r="E51" s="12">
        <f>E50/E44</f>
        <v>6.7980921399967573E-2</v>
      </c>
      <c r="F51" s="12">
        <f>F50/F44</f>
        <v>0.17000908581601859</v>
      </c>
      <c r="G51" s="12">
        <f>G50/G44</f>
        <v>0.24439454015930384</v>
      </c>
      <c r="H51" s="218">
        <f>(Control!$E$35-STLK!$G$51)/STLK!$E$10+STLK!G51</f>
        <v>0.26217481315133867</v>
      </c>
      <c r="I51" s="218">
        <f>(Control!$E$35-STLK!$G$51)/STLK!$E$10+STLK!H51</f>
        <v>0.2799550861433735</v>
      </c>
      <c r="J51" s="218">
        <f>(Control!$E$35-STLK!$G$51)/STLK!$E$10+STLK!I51</f>
        <v>0.29773535913540833</v>
      </c>
      <c r="K51" s="218">
        <f>(Control!$E$35-STLK!$G$51)/STLK!$E$10+STLK!J51</f>
        <v>0.31551563212744316</v>
      </c>
      <c r="L51" s="218">
        <f>(Control!$E$35-STLK!$G$51)/STLK!$E$10+STLK!K51</f>
        <v>0.33329590511947799</v>
      </c>
      <c r="M51" s="218">
        <f>(Control!$E$35-STLK!$G$51)/STLK!$E$10+STLK!L51</f>
        <v>0.35107617811151282</v>
      </c>
      <c r="N51" s="218">
        <f>(Control!$E$35-STLK!$G$51)/STLK!$E$10+STLK!M51</f>
        <v>0.36885645110354764</v>
      </c>
      <c r="O51" s="218">
        <f>(Control!$E$35-STLK!$G$51)/STLK!$E$10+STLK!N51</f>
        <v>0.38663672409558247</v>
      </c>
      <c r="P51" s="218">
        <f>(Control!$E$35-STLK!$G$51)/STLK!$E$10+STLK!O51</f>
        <v>0.4044169970876173</v>
      </c>
      <c r="Q51" s="218">
        <f>(Control!$E$35-STLK!$G$51)/STLK!$E$10+STLK!P51</f>
        <v>0.42219727007965213</v>
      </c>
      <c r="R51" s="218">
        <f>(Control!$E$35-STLK!$G$51)/STLK!$E$10+STLK!Q51</f>
        <v>0.43997754307168696</v>
      </c>
      <c r="S51" s="218">
        <f>(Control!$E$35-STLK!$G$51)/STLK!$E$10+STLK!R51</f>
        <v>0.45775781606372179</v>
      </c>
      <c r="T51" s="218">
        <f>(Control!$E$35-STLK!$G$51)/STLK!$E$10+STLK!S51</f>
        <v>0.47553808905575662</v>
      </c>
      <c r="U51" s="218">
        <f>(Control!$E$35-STLK!$G$51)/STLK!$E$10+STLK!T51</f>
        <v>0.49331836204779145</v>
      </c>
      <c r="V51" s="218">
        <f>(Control!$E$35-STLK!$G$51)/STLK!$E$10+STLK!U51</f>
        <v>0.51109863503982622</v>
      </c>
      <c r="W51" s="218">
        <f>(Control!$E$35-STLK!$G$51)/STLK!$E$10+STLK!V51</f>
        <v>0.52887890803186099</v>
      </c>
      <c r="X51" s="218">
        <f>(Control!$E$35-STLK!$G$51)/STLK!$E$10+STLK!W51</f>
        <v>0.54665918102389577</v>
      </c>
      <c r="Y51" s="218">
        <f>(Control!$E$35-STLK!$G$51)/STLK!$E$10+STLK!X51</f>
        <v>0.56443945401593054</v>
      </c>
      <c r="Z51" s="218">
        <f>(Control!$E$35-STLK!$G$51)/STLK!$E$10+STLK!Y51</f>
        <v>0.58221972700796532</v>
      </c>
      <c r="AA51" s="218">
        <f>(Control!$E$35-STLK!$G$51)/STLK!$E$10+STLK!Z51</f>
        <v>0.60000000000000009</v>
      </c>
    </row>
    <row r="52" spans="3:27" outlineLevel="1" x14ac:dyDescent="0.45">
      <c r="G52" s="37"/>
      <c r="H52" s="17"/>
      <c r="I52" s="17"/>
      <c r="J52" s="17"/>
      <c r="K52" s="17"/>
      <c r="L52" s="17"/>
      <c r="AA52" s="37"/>
    </row>
    <row r="53" spans="3:27" outlineLevel="1" x14ac:dyDescent="0.45">
      <c r="C53" s="14" t="s">
        <v>71</v>
      </c>
      <c r="D53" s="25" t="s">
        <v>20</v>
      </c>
      <c r="E53" s="100">
        <v>2817</v>
      </c>
      <c r="F53" s="100">
        <v>4830</v>
      </c>
      <c r="G53" s="100">
        <v>7208</v>
      </c>
      <c r="H53" s="29">
        <f>SUM(H40:H41)</f>
        <v>11412.289939376373</v>
      </c>
      <c r="I53" s="29">
        <f t="shared" ref="I53:AA53" si="27">SUM(I40:I41)</f>
        <v>15545.918207095301</v>
      </c>
      <c r="J53" s="29">
        <f t="shared" si="27"/>
        <v>19177.739949692575</v>
      </c>
      <c r="K53" s="29">
        <f t="shared" si="27"/>
        <v>22479.244459511028</v>
      </c>
      <c r="L53" s="29">
        <f t="shared" si="27"/>
        <v>25589.977138233855</v>
      </c>
      <c r="M53" s="29">
        <f t="shared" si="27"/>
        <v>28624.116264463672</v>
      </c>
      <c r="N53" s="29">
        <f t="shared" si="27"/>
        <v>31658.830240566927</v>
      </c>
      <c r="O53" s="29">
        <f t="shared" si="27"/>
        <v>34456.077318374482</v>
      </c>
      <c r="P53" s="29">
        <f t="shared" si="27"/>
        <v>37019.823200705789</v>
      </c>
      <c r="Q53" s="29">
        <f t="shared" si="27"/>
        <v>39354.589771001542</v>
      </c>
      <c r="R53" s="29">
        <f t="shared" si="27"/>
        <v>41465.417451369278</v>
      </c>
      <c r="S53" s="29">
        <f t="shared" si="27"/>
        <v>43357.826551098966</v>
      </c>
      <c r="T53" s="29">
        <f t="shared" si="27"/>
        <v>45037.777844431999</v>
      </c>
      <c r="U53" s="29">
        <f t="shared" si="27"/>
        <v>46511.63261287981</v>
      </c>
      <c r="V53" s="29">
        <f t="shared" si="27"/>
        <v>47786.112382425184</v>
      </c>
      <c r="W53" s="29">
        <f t="shared" si="27"/>
        <v>48868.258579588597</v>
      </c>
      <c r="X53" s="29">
        <f t="shared" si="27"/>
        <v>49765.392322696287</v>
      </c>
      <c r="Y53" s="29">
        <f t="shared" si="27"/>
        <v>50485.074555850551</v>
      </c>
      <c r="Z53" s="29">
        <f t="shared" si="27"/>
        <v>51035.066723183001</v>
      </c>
      <c r="AA53" s="29">
        <f t="shared" si="27"/>
        <v>51423.292170084089</v>
      </c>
    </row>
    <row r="54" spans="3:27" outlineLevel="1" x14ac:dyDescent="0.45">
      <c r="C54" s="14" t="s">
        <v>72</v>
      </c>
      <c r="D54" s="126" t="s">
        <v>20</v>
      </c>
      <c r="E54" s="100">
        <v>1052</v>
      </c>
      <c r="F54" s="100">
        <v>2769</v>
      </c>
      <c r="G54" s="100">
        <v>4179</v>
      </c>
      <c r="H54" s="101">
        <f t="shared" ref="H54:AA54" si="28">H47*H50*Months/Units</f>
        <v>4755.936573</v>
      </c>
      <c r="I54" s="101">
        <f t="shared" si="28"/>
        <v>5379.3727379187494</v>
      </c>
      <c r="J54" s="101">
        <f t="shared" si="28"/>
        <v>6050.6961098381425</v>
      </c>
      <c r="K54" s="101">
        <f t="shared" si="28"/>
        <v>6771.1184267972749</v>
      </c>
      <c r="L54" s="101">
        <f t="shared" si="28"/>
        <v>7541.6529995444944</v>
      </c>
      <c r="M54" s="101">
        <f t="shared" si="28"/>
        <v>8363.0923798906169</v>
      </c>
      <c r="N54" s="101">
        <f t="shared" si="28"/>
        <v>9235.9865076272126</v>
      </c>
      <c r="O54" s="101">
        <f t="shared" si="28"/>
        <v>10160.621607664132</v>
      </c>
      <c r="P54" s="101">
        <f t="shared" si="28"/>
        <v>11137.000117651925</v>
      </c>
      <c r="Q54" s="101">
        <f t="shared" si="28"/>
        <v>12164.821931550196</v>
      </c>
      <c r="R54" s="101">
        <f t="shared" si="28"/>
        <v>13243.467246083022</v>
      </c>
      <c r="S54" s="101">
        <f t="shared" si="28"/>
        <v>14371.981294533802</v>
      </c>
      <c r="T54" s="101">
        <f t="shared" si="28"/>
        <v>15549.061245674953</v>
      </c>
      <c r="U54" s="101">
        <f t="shared" si="28"/>
        <v>16773.045534663426</v>
      </c>
      <c r="V54" s="101">
        <f t="shared" si="28"/>
        <v>18041.905877388508</v>
      </c>
      <c r="W54" s="101">
        <f t="shared" si="28"/>
        <v>19353.242200034045</v>
      </c>
      <c r="X54" s="101">
        <f t="shared" si="28"/>
        <v>20704.28069158765</v>
      </c>
      <c r="Y54" s="101">
        <f t="shared" si="28"/>
        <v>22091.875158849289</v>
      </c>
      <c r="Z54" s="101">
        <f t="shared" si="28"/>
        <v>23512.511831393665</v>
      </c>
      <c r="AA54" s="101">
        <f t="shared" si="28"/>
        <v>24962.317728238406</v>
      </c>
    </row>
    <row r="55" spans="3:27" outlineLevel="1" x14ac:dyDescent="0.45">
      <c r="C55" s="84" t="s">
        <v>70</v>
      </c>
      <c r="D55" s="25" t="s">
        <v>20</v>
      </c>
      <c r="E55" s="127">
        <f>SUM(E53:E54)</f>
        <v>3869</v>
      </c>
      <c r="F55" s="127">
        <f t="shared" ref="F55:G55" si="29">SUM(F53:F54)</f>
        <v>7599</v>
      </c>
      <c r="G55" s="127">
        <f t="shared" si="29"/>
        <v>11387</v>
      </c>
      <c r="H55" s="127">
        <f>SUM(H53:H54)</f>
        <v>16168.226512376372</v>
      </c>
      <c r="I55" s="127">
        <f t="shared" ref="I55:AA55" si="30">SUM(I53:I54)</f>
        <v>20925.290945014051</v>
      </c>
      <c r="J55" s="127">
        <f t="shared" si="30"/>
        <v>25228.436059530719</v>
      </c>
      <c r="K55" s="127">
        <f t="shared" si="30"/>
        <v>29250.362886308303</v>
      </c>
      <c r="L55" s="127">
        <f t="shared" si="30"/>
        <v>33131.630137778353</v>
      </c>
      <c r="M55" s="127">
        <f t="shared" si="30"/>
        <v>36987.208644354287</v>
      </c>
      <c r="N55" s="127">
        <f t="shared" si="30"/>
        <v>40894.816748194142</v>
      </c>
      <c r="O55" s="127">
        <f t="shared" si="30"/>
        <v>44616.698926038618</v>
      </c>
      <c r="P55" s="127">
        <f t="shared" si="30"/>
        <v>48156.82331835771</v>
      </c>
      <c r="Q55" s="127">
        <f t="shared" si="30"/>
        <v>51519.411702551733</v>
      </c>
      <c r="R55" s="127">
        <f t="shared" si="30"/>
        <v>54708.884697452304</v>
      </c>
      <c r="S55" s="127">
        <f t="shared" si="30"/>
        <v>57729.807845632764</v>
      </c>
      <c r="T55" s="127">
        <f t="shared" si="30"/>
        <v>60586.839090106951</v>
      </c>
      <c r="U55" s="127">
        <f t="shared" si="30"/>
        <v>63284.678147543236</v>
      </c>
      <c r="V55" s="127">
        <f t="shared" si="30"/>
        <v>65828.018259813689</v>
      </c>
      <c r="W55" s="127">
        <f t="shared" si="30"/>
        <v>68221.500779622642</v>
      </c>
      <c r="X55" s="127">
        <f t="shared" si="30"/>
        <v>70469.673014283937</v>
      </c>
      <c r="Y55" s="127">
        <f t="shared" si="30"/>
        <v>72576.949714699847</v>
      </c>
      <c r="Z55" s="127">
        <f t="shared" si="30"/>
        <v>74547.57855457667</v>
      </c>
      <c r="AA55" s="127">
        <f t="shared" si="30"/>
        <v>76385.609898322495</v>
      </c>
    </row>
    <row r="56" spans="3:27" outlineLevel="1" x14ac:dyDescent="0.45">
      <c r="C56" s="27" t="s">
        <v>13</v>
      </c>
      <c r="D56" s="25" t="s">
        <v>18</v>
      </c>
      <c r="E56" s="28"/>
      <c r="F56" s="28">
        <f>F55/E55-1</f>
        <v>0.96407340398035668</v>
      </c>
      <c r="G56" s="28">
        <f t="shared" ref="G56:AA56" si="31">G55/F55-1</f>
        <v>0.49848664297933931</v>
      </c>
      <c r="H56" s="28">
        <f t="shared" si="31"/>
        <v>0.41988465024821031</v>
      </c>
      <c r="I56" s="28">
        <f t="shared" si="31"/>
        <v>0.29422302000756018</v>
      </c>
      <c r="J56" s="28">
        <f t="shared" si="31"/>
        <v>0.20564326325613136</v>
      </c>
      <c r="K56" s="28">
        <f t="shared" si="31"/>
        <v>0.15942037854772972</v>
      </c>
      <c r="L56" s="28">
        <f t="shared" si="31"/>
        <v>0.13269125126946091</v>
      </c>
      <c r="M56" s="28">
        <f t="shared" si="31"/>
        <v>0.11637153048438775</v>
      </c>
      <c r="N56" s="28">
        <f t="shared" si="31"/>
        <v>0.10564755349377553</v>
      </c>
      <c r="O56" s="28">
        <f t="shared" si="31"/>
        <v>9.1011098075377328E-2</v>
      </c>
      <c r="P56" s="28">
        <f t="shared" si="31"/>
        <v>7.9345278282187071E-2</v>
      </c>
      <c r="Q56" s="28">
        <f t="shared" si="31"/>
        <v>6.9825793158415861E-2</v>
      </c>
      <c r="R56" s="28">
        <f t="shared" si="31"/>
        <v>6.1908179645277173E-2</v>
      </c>
      <c r="S56" s="28">
        <f t="shared" si="31"/>
        <v>5.5218145368646887E-2</v>
      </c>
      <c r="T56" s="28">
        <f t="shared" si="31"/>
        <v>4.9489706463492489E-2</v>
      </c>
      <c r="U56" s="28">
        <f t="shared" si="31"/>
        <v>4.4528466874199646E-2</v>
      </c>
      <c r="V56" s="28">
        <f t="shared" si="31"/>
        <v>4.0188876466130674E-2</v>
      </c>
      <c r="W56" s="28">
        <f t="shared" si="31"/>
        <v>3.6359632009006049E-2</v>
      </c>
      <c r="X56" s="28">
        <f t="shared" si="31"/>
        <v>3.2954013162560303E-2</v>
      </c>
      <c r="Y56" s="28">
        <f t="shared" si="31"/>
        <v>2.9903313159815204E-2</v>
      </c>
      <c r="Z56" s="28">
        <f t="shared" si="31"/>
        <v>2.7152268697201665E-2</v>
      </c>
      <c r="AA56" s="28">
        <f t="shared" si="31"/>
        <v>2.4655815512507839E-2</v>
      </c>
    </row>
    <row r="57" spans="3:27" outlineLevel="1" x14ac:dyDescent="0.45">
      <c r="H57" s="17"/>
      <c r="I57" s="17"/>
      <c r="J57" s="17"/>
      <c r="K57" s="17"/>
      <c r="L57" s="17"/>
    </row>
    <row r="58" spans="3:27" outlineLevel="1" x14ac:dyDescent="0.45">
      <c r="C58" s="5" t="s">
        <v>87</v>
      </c>
      <c r="D58" s="25" t="s">
        <v>20</v>
      </c>
      <c r="E58" s="100">
        <v>-2786</v>
      </c>
      <c r="F58" s="100">
        <v>-4768</v>
      </c>
      <c r="G58" s="100">
        <v>-5921</v>
      </c>
      <c r="H58" s="101">
        <f>-H55*(1-H59)</f>
        <v>-8229.3035610993174</v>
      </c>
      <c r="I58" s="101">
        <f t="shared" ref="I58:AA58" si="32">-I55*(1-I59)</f>
        <v>-10420.397958778574</v>
      </c>
      <c r="J58" s="101">
        <f t="shared" si="32"/>
        <v>-12285.796389360992</v>
      </c>
      <c r="K58" s="101">
        <f t="shared" si="32"/>
        <v>-13922.679533770857</v>
      </c>
      <c r="L58" s="101">
        <f t="shared" si="32"/>
        <v>-15405.684285830806</v>
      </c>
      <c r="M58" s="101">
        <f t="shared" si="32"/>
        <v>-16791.647027597159</v>
      </c>
      <c r="N58" s="101">
        <f t="shared" si="32"/>
        <v>-18115.843567284141</v>
      </c>
      <c r="O58" s="101">
        <f t="shared" si="32"/>
        <v>-19273.849713281907</v>
      </c>
      <c r="P58" s="101">
        <f t="shared" si="32"/>
        <v>-20273.464375114312</v>
      </c>
      <c r="Q58" s="101">
        <f t="shared" si="32"/>
        <v>-21122.415869320099</v>
      </c>
      <c r="R58" s="101">
        <f t="shared" si="32"/>
        <v>-21828.326107873771</v>
      </c>
      <c r="S58" s="101">
        <f t="shared" si="32"/>
        <v>-22398.678743345605</v>
      </c>
      <c r="T58" s="101">
        <f t="shared" si="32"/>
        <v>-22840.791397962377</v>
      </c>
      <c r="U58" s="101">
        <f t="shared" si="32"/>
        <v>-23161.792052986468</v>
      </c>
      <c r="V58" s="101">
        <f t="shared" si="32"/>
        <v>-23368.599623439142</v>
      </c>
      <c r="W58" s="101">
        <f t="shared" si="32"/>
        <v>-23467.90869182791</v>
      </c>
      <c r="X58" s="101">
        <f t="shared" si="32"/>
        <v>-23466.178323888427</v>
      </c>
      <c r="Y58" s="101">
        <f t="shared" si="32"/>
        <v>-23369.624840117809</v>
      </c>
      <c r="Z58" s="101">
        <f t="shared" si="32"/>
        <v>-23184.218369751256</v>
      </c>
      <c r="AA58" s="101">
        <f t="shared" si="32"/>
        <v>-22915.682969496767</v>
      </c>
    </row>
    <row r="59" spans="3:27" outlineLevel="1" x14ac:dyDescent="0.45">
      <c r="C59" s="14" t="s">
        <v>88</v>
      </c>
      <c r="D59" s="25" t="s">
        <v>18</v>
      </c>
      <c r="E59" s="12">
        <f>(E55+E58)/E55</f>
        <v>0.27991729128973897</v>
      </c>
      <c r="F59" s="12">
        <f>(F55+F58)/F55</f>
        <v>0.37254901960784315</v>
      </c>
      <c r="G59" s="12">
        <f>(G55+G58)/G55</f>
        <v>0.48002107666637395</v>
      </c>
      <c r="H59" s="218">
        <f>(Control!$E$43-STLK!$G$59)/STLK!$E$10+STLK!G59</f>
        <v>0.49102002283305524</v>
      </c>
      <c r="I59" s="218">
        <f>(Control!$E$43-STLK!$G$59)/STLK!$E$10+STLK!H59</f>
        <v>0.50201896899973653</v>
      </c>
      <c r="J59" s="218">
        <f>(Control!$E$43-STLK!$G$59)/STLK!$E$10+STLK!I59</f>
        <v>0.51301791516641781</v>
      </c>
      <c r="K59" s="218">
        <f>(Control!$E$43-STLK!$G$59)/STLK!$E$10+STLK!J59</f>
        <v>0.5240168613330991</v>
      </c>
      <c r="L59" s="218">
        <f>(Control!$E$43-STLK!$G$59)/STLK!$E$10+STLK!K59</f>
        <v>0.53501580749978039</v>
      </c>
      <c r="M59" s="218">
        <f>(Control!$E$43-STLK!$G$59)/STLK!$E$10+STLK!L59</f>
        <v>0.54601475366646168</v>
      </c>
      <c r="N59" s="218">
        <f>(Control!$E$43-STLK!$G$59)/STLK!$E$10+STLK!M59</f>
        <v>0.55701369983314297</v>
      </c>
      <c r="O59" s="218">
        <f>(Control!$E$43-STLK!$G$59)/STLK!$E$10+STLK!N59</f>
        <v>0.56801264599982426</v>
      </c>
      <c r="P59" s="218">
        <f>(Control!$E$43-STLK!$G$59)/STLK!$E$10+STLK!O59</f>
        <v>0.57901159216650555</v>
      </c>
      <c r="Q59" s="218">
        <f>(Control!$E$43-STLK!$G$59)/STLK!$E$10+STLK!P59</f>
        <v>0.59001053833318684</v>
      </c>
      <c r="R59" s="218">
        <f>(Control!$E$43-STLK!$G$59)/STLK!$E$10+STLK!Q59</f>
        <v>0.60100948449986813</v>
      </c>
      <c r="S59" s="218">
        <f>(Control!$E$43-STLK!$G$59)/STLK!$E$10+STLK!R59</f>
        <v>0.61200843066654942</v>
      </c>
      <c r="T59" s="218">
        <f>(Control!$E$43-STLK!$G$59)/STLK!$E$10+STLK!S59</f>
        <v>0.62300737683323071</v>
      </c>
      <c r="U59" s="218">
        <f>(Control!$E$43-STLK!$G$59)/STLK!$E$10+STLK!T59</f>
        <v>0.634006322999912</v>
      </c>
      <c r="V59" s="218">
        <f>(Control!$E$43-STLK!$G$59)/STLK!$E$10+STLK!U59</f>
        <v>0.64500526916659329</v>
      </c>
      <c r="W59" s="218">
        <f>(Control!$E$43-STLK!$G$59)/STLK!$E$10+STLK!V59</f>
        <v>0.65600421533327458</v>
      </c>
      <c r="X59" s="218">
        <f>(Control!$E$43-STLK!$G$59)/STLK!$E$10+STLK!W59</f>
        <v>0.66700316149995587</v>
      </c>
      <c r="Y59" s="218">
        <f>(Control!$E$43-STLK!$G$59)/STLK!$E$10+STLK!X59</f>
        <v>0.67800210766663715</v>
      </c>
      <c r="Z59" s="218">
        <f>(Control!$E$43-STLK!$G$59)/STLK!$E$10+STLK!Y59</f>
        <v>0.68900105383331844</v>
      </c>
      <c r="AA59" s="218">
        <f>(Control!$E$43-STLK!$G$59)/STLK!$E$10+STLK!Z59</f>
        <v>0.69999999999999973</v>
      </c>
    </row>
    <row r="60" spans="3:27" outlineLevel="1" x14ac:dyDescent="0.45">
      <c r="F60" s="37"/>
      <c r="G60" s="37"/>
      <c r="H60" s="17"/>
      <c r="I60" s="17"/>
      <c r="J60" s="17"/>
      <c r="K60" s="17"/>
      <c r="L60" s="17"/>
    </row>
    <row r="61" spans="3:27" outlineLevel="1" x14ac:dyDescent="0.45">
      <c r="C61" s="5" t="s">
        <v>89</v>
      </c>
      <c r="D61" s="25" t="s">
        <v>20</v>
      </c>
      <c r="E61" s="101">
        <f>-381-233</f>
        <v>-614</v>
      </c>
      <c r="F61" s="101">
        <f>-453-333</f>
        <v>-786</v>
      </c>
      <c r="G61" s="101">
        <f>-575-468</f>
        <v>-1043</v>
      </c>
      <c r="H61" s="101">
        <f>-H62*H55</f>
        <v>-1319.2574250851198</v>
      </c>
      <c r="I61" s="101">
        <f t="shared" ref="I61:AA61" si="33">-I62*I55</f>
        <v>-1498.1604194109211</v>
      </c>
      <c r="J61" s="101">
        <f t="shared" si="33"/>
        <v>-1553.9626563444504</v>
      </c>
      <c r="K61" s="101">
        <f t="shared" si="33"/>
        <v>-1509.1923424048352</v>
      </c>
      <c r="L61" s="101">
        <f t="shared" si="33"/>
        <v>-1656.5815068889178</v>
      </c>
      <c r="M61" s="101">
        <f t="shared" si="33"/>
        <v>-1849.3604322177143</v>
      </c>
      <c r="N61" s="101">
        <f t="shared" si="33"/>
        <v>-2044.7408374097072</v>
      </c>
      <c r="O61" s="101">
        <f t="shared" si="33"/>
        <v>-2230.8349463019308</v>
      </c>
      <c r="P61" s="101">
        <f t="shared" si="33"/>
        <v>-2407.8411659178855</v>
      </c>
      <c r="Q61" s="101">
        <f t="shared" si="33"/>
        <v>-2575.9705851275867</v>
      </c>
      <c r="R61" s="101">
        <f t="shared" si="33"/>
        <v>-2735.4442348726152</v>
      </c>
      <c r="S61" s="101">
        <f t="shared" si="33"/>
        <v>-2886.4903922816384</v>
      </c>
      <c r="T61" s="101">
        <f t="shared" si="33"/>
        <v>-3029.3419545053475</v>
      </c>
      <c r="U61" s="101">
        <f t="shared" si="33"/>
        <v>-3164.2339073771618</v>
      </c>
      <c r="V61" s="101">
        <f t="shared" si="33"/>
        <v>-3291.4009129906844</v>
      </c>
      <c r="W61" s="101">
        <f t="shared" si="33"/>
        <v>-3411.0750389811324</v>
      </c>
      <c r="X61" s="101">
        <f t="shared" si="33"/>
        <v>-3523.4836507141972</v>
      </c>
      <c r="Y61" s="101">
        <f t="shared" si="33"/>
        <v>-3628.8474857349925</v>
      </c>
      <c r="Z61" s="101">
        <f t="shared" si="33"/>
        <v>-3727.3789277288338</v>
      </c>
      <c r="AA61" s="101">
        <f t="shared" si="33"/>
        <v>-3819.280494916125</v>
      </c>
    </row>
    <row r="62" spans="3:27" outlineLevel="1" x14ac:dyDescent="0.45">
      <c r="C62" s="14" t="s">
        <v>90</v>
      </c>
      <c r="D62" s="25" t="s">
        <v>18</v>
      </c>
      <c r="E62" s="12">
        <f>-E61/E55</f>
        <v>0.15869733781338846</v>
      </c>
      <c r="F62" s="12">
        <f t="shared" ref="F62:G62" si="34">-F61/F55</f>
        <v>0.10343466245558626</v>
      </c>
      <c r="G62" s="12">
        <f t="shared" si="34"/>
        <v>9.159567928339335E-2</v>
      </c>
      <c r="H62" s="218">
        <f>MAX(G62+Control!$E$45,Control!$E$46)</f>
        <v>8.1595679283393355E-2</v>
      </c>
      <c r="I62" s="218">
        <f>MAX(H62+Control!$E$45,Control!$E$46)</f>
        <v>7.159567928339336E-2</v>
      </c>
      <c r="J62" s="218">
        <f>MAX(I62+Control!$E$45,Control!$E$46)</f>
        <v>6.1595679283393358E-2</v>
      </c>
      <c r="K62" s="218">
        <f>MAX(J62+Control!$E$45,Control!$E$46)</f>
        <v>5.1595679283393356E-2</v>
      </c>
      <c r="L62" s="218">
        <f>MAX(K62+Control!$E$45,Control!$E$46)</f>
        <v>0.05</v>
      </c>
      <c r="M62" s="218">
        <f>MAX(L62+Control!$E$45,Control!$E$46)</f>
        <v>0.05</v>
      </c>
      <c r="N62" s="218">
        <f>MAX(M62+Control!$E$45,Control!$E$46)</f>
        <v>0.05</v>
      </c>
      <c r="O62" s="218">
        <f>MAX(N62+Control!$E$45,Control!$E$46)</f>
        <v>0.05</v>
      </c>
      <c r="P62" s="218">
        <f>MAX(O62+Control!$E$45,Control!$E$46)</f>
        <v>0.05</v>
      </c>
      <c r="Q62" s="218">
        <f>MAX(P62+Control!$E$45,Control!$E$46)</f>
        <v>0.05</v>
      </c>
      <c r="R62" s="218">
        <f>MAX(Q62+Control!$E$45,Control!$E$46)</f>
        <v>0.05</v>
      </c>
      <c r="S62" s="218">
        <f>MAX(R62+Control!$E$45,Control!$E$46)</f>
        <v>0.05</v>
      </c>
      <c r="T62" s="218">
        <f>MAX(S62+Control!$E$45,Control!$E$46)</f>
        <v>0.05</v>
      </c>
      <c r="U62" s="218">
        <f>MAX(T62+Control!$E$45,Control!$E$46)</f>
        <v>0.05</v>
      </c>
      <c r="V62" s="218">
        <f>MAX(U62+Control!$E$45,Control!$E$46)</f>
        <v>0.05</v>
      </c>
      <c r="W62" s="218">
        <f>MAX(V62+Control!$E$45,Control!$E$46)</f>
        <v>0.05</v>
      </c>
      <c r="X62" s="218">
        <f>MAX(W62+Control!$E$45,Control!$E$46)</f>
        <v>0.05</v>
      </c>
      <c r="Y62" s="218">
        <f>MAX(X62+Control!$E$45,Control!$E$46)</f>
        <v>0.05</v>
      </c>
      <c r="Z62" s="218">
        <f>MAX(Y62+Control!$E$45,Control!$E$46)</f>
        <v>0.05</v>
      </c>
      <c r="AA62" s="218">
        <f>MAX(Z62+Control!$E$45,Control!$E$46)</f>
        <v>0.05</v>
      </c>
    </row>
    <row r="63" spans="3:27" outlineLevel="1" x14ac:dyDescent="0.45">
      <c r="F63" s="37"/>
      <c r="G63" s="37"/>
      <c r="H63" s="17"/>
      <c r="I63" s="17"/>
      <c r="J63" s="17"/>
      <c r="K63" s="17"/>
      <c r="L63" s="17"/>
    </row>
    <row r="64" spans="3:27" outlineLevel="1" x14ac:dyDescent="0.45">
      <c r="C64" s="5" t="s">
        <v>85</v>
      </c>
      <c r="D64" s="25" t="s">
        <v>20</v>
      </c>
      <c r="E64" s="100">
        <v>-2455</v>
      </c>
      <c r="F64" s="100">
        <v>-3498</v>
      </c>
      <c r="G64" s="100">
        <v>-4178</v>
      </c>
      <c r="H64" s="101">
        <f t="shared" ref="H64:AA64" si="35">-H65*H$34</f>
        <v>-4628.7190162885518</v>
      </c>
      <c r="I64" s="101">
        <f t="shared" si="35"/>
        <v>-4859.5633637170649</v>
      </c>
      <c r="J64" s="101">
        <f t="shared" si="35"/>
        <v>-5181.6495997577122</v>
      </c>
      <c r="K64" s="101">
        <f t="shared" si="35"/>
        <v>-5743.9315011998742</v>
      </c>
      <c r="L64" s="101">
        <f t="shared" si="35"/>
        <v>-6571.2378273831973</v>
      </c>
      <c r="M64" s="101">
        <f t="shared" si="35"/>
        <v>-7339.5575254773184</v>
      </c>
      <c r="N64" s="101">
        <f t="shared" si="35"/>
        <v>-8049.635166872351</v>
      </c>
      <c r="O64" s="101">
        <f t="shared" si="35"/>
        <v>-8702.363969807273</v>
      </c>
      <c r="P64" s="101">
        <f t="shared" si="35"/>
        <v>-9298.7771154525944</v>
      </c>
      <c r="Q64" s="101">
        <f t="shared" si="35"/>
        <v>-9840.0387296530989</v>
      </c>
      <c r="R64" s="101">
        <f t="shared" si="35"/>
        <v>-10327.434589046146</v>
      </c>
      <c r="S64" s="101">
        <f t="shared" si="35"/>
        <v>-10762.362609997992</v>
      </c>
      <c r="T64" s="101">
        <f t="shared" si="35"/>
        <v>-11146.323178141345</v>
      </c>
      <c r="U64" s="101">
        <f t="shared" si="35"/>
        <v>-11480.909375268791</v>
      </c>
      <c r="V64" s="101">
        <f t="shared" si="35"/>
        <v>-11767.797158959085</v>
      </c>
      <c r="W64" s="101">
        <f t="shared" si="35"/>
        <v>-12008.73554860836</v>
      </c>
      <c r="X64" s="101">
        <f t="shared" si="35"/>
        <v>-12205.536869530364</v>
      </c>
      <c r="Y64" s="101">
        <f t="shared" si="35"/>
        <v>-12360.06710450436</v>
      </c>
      <c r="Z64" s="101">
        <f t="shared" si="35"/>
        <v>-12474.236399613783</v>
      </c>
      <c r="AA64" s="101">
        <f t="shared" si="35"/>
        <v>-12549.989768461102</v>
      </c>
    </row>
    <row r="65" spans="2:27" outlineLevel="1" x14ac:dyDescent="0.45">
      <c r="C65" s="5" t="s">
        <v>86</v>
      </c>
      <c r="D65" s="25" t="s">
        <v>69</v>
      </c>
      <c r="E65" s="135">
        <f>-E64/E$34</f>
        <v>1067.3913043478262</v>
      </c>
      <c r="F65" s="135">
        <f>-F64/F$34</f>
        <v>794.99999999999989</v>
      </c>
      <c r="G65" s="135">
        <f>-G64/G$34</f>
        <v>469.43820224719099</v>
      </c>
      <c r="H65" s="135">
        <f>G65*(1+H66)</f>
        <v>312.40563338121183</v>
      </c>
      <c r="I65" s="135">
        <f t="shared" ref="I65:AA65" si="36">H65*(1+I66)</f>
        <v>231.33271784538445</v>
      </c>
      <c r="J65" s="135">
        <f t="shared" si="36"/>
        <v>188.64912590048692</v>
      </c>
      <c r="K65" s="135">
        <f t="shared" si="36"/>
        <v>167.98984030879839</v>
      </c>
      <c r="L65" s="135">
        <f t="shared" si="36"/>
        <v>159.59034829335846</v>
      </c>
      <c r="M65" s="135">
        <f t="shared" si="36"/>
        <v>151.61083087869054</v>
      </c>
      <c r="N65" s="135">
        <f t="shared" si="36"/>
        <v>144.03028933475599</v>
      </c>
      <c r="O65" s="135">
        <f t="shared" si="36"/>
        <v>136.82877486801817</v>
      </c>
      <c r="P65" s="135">
        <f t="shared" si="36"/>
        <v>129.98733612461726</v>
      </c>
      <c r="Q65" s="135">
        <f t="shared" si="36"/>
        <v>123.48796931838639</v>
      </c>
      <c r="R65" s="135">
        <f t="shared" si="36"/>
        <v>117.31357085246707</v>
      </c>
      <c r="S65" s="135">
        <f t="shared" si="36"/>
        <v>111.44789230984371</v>
      </c>
      <c r="T65" s="135">
        <f t="shared" si="36"/>
        <v>105.87549769435152</v>
      </c>
      <c r="U65" s="135">
        <f t="shared" si="36"/>
        <v>100.58172280963394</v>
      </c>
      <c r="V65" s="135">
        <f t="shared" si="36"/>
        <v>95.55263666915225</v>
      </c>
      <c r="W65" s="135">
        <f t="shared" si="36"/>
        <v>90.775004835694631</v>
      </c>
      <c r="X65" s="135">
        <f t="shared" si="36"/>
        <v>86.236254593909891</v>
      </c>
      <c r="Y65" s="135">
        <f t="shared" si="36"/>
        <v>81.924441864214387</v>
      </c>
      <c r="Z65" s="135">
        <f t="shared" si="36"/>
        <v>77.82821977100366</v>
      </c>
      <c r="AA65" s="135">
        <f t="shared" si="36"/>
        <v>73.936808782453468</v>
      </c>
    </row>
    <row r="66" spans="2:27" outlineLevel="1" x14ac:dyDescent="0.45">
      <c r="C66" s="14" t="s">
        <v>13</v>
      </c>
      <c r="D66" s="25" t="s">
        <v>18</v>
      </c>
      <c r="E66" s="12"/>
      <c r="F66" s="12">
        <f>F65/E65-1</f>
        <v>-0.25519348268839126</v>
      </c>
      <c r="G66" s="12">
        <f>G65/F65-1</f>
        <v>-0.40951169528655218</v>
      </c>
      <c r="H66" s="218">
        <f>MIN(G66+Control!$E$48,Control!$E$49)</f>
        <v>-0.33451169528655217</v>
      </c>
      <c r="I66" s="218">
        <f>MIN(H66+Control!$E$48,Control!$E$49)</f>
        <v>-0.25951169528655216</v>
      </c>
      <c r="J66" s="218">
        <f>MIN(I66+Control!$E$48,Control!$E$49)</f>
        <v>-0.18451169528655215</v>
      </c>
      <c r="K66" s="218">
        <f>MIN(J66+Control!$E$48,Control!$E$49)</f>
        <v>-0.10951169528655215</v>
      </c>
      <c r="L66" s="218">
        <f>MIN(K66+Control!$E$48,Control!$E$49)</f>
        <v>-0.05</v>
      </c>
      <c r="M66" s="218">
        <f>MIN(L66+Control!$E$48,Control!$E$49)</f>
        <v>-0.05</v>
      </c>
      <c r="N66" s="218">
        <f>MIN(M66+Control!$E$48,Control!$E$49)</f>
        <v>-0.05</v>
      </c>
      <c r="O66" s="218">
        <f>MIN(N66+Control!$E$48,Control!$E$49)</f>
        <v>-0.05</v>
      </c>
      <c r="P66" s="218">
        <f>MIN(O66+Control!$E$48,Control!$E$49)</f>
        <v>-0.05</v>
      </c>
      <c r="Q66" s="218">
        <f>MIN(P66+Control!$E$48,Control!$E$49)</f>
        <v>-0.05</v>
      </c>
      <c r="R66" s="218">
        <f>MIN(Q66+Control!$E$48,Control!$E$49)</f>
        <v>-0.05</v>
      </c>
      <c r="S66" s="218">
        <f>MIN(R66+Control!$E$48,Control!$E$49)</f>
        <v>-0.05</v>
      </c>
      <c r="T66" s="218">
        <f>MIN(S66+Control!$E$48,Control!$E$49)</f>
        <v>-0.05</v>
      </c>
      <c r="U66" s="218">
        <f>MIN(T66+Control!$E$48,Control!$E$49)</f>
        <v>-0.05</v>
      </c>
      <c r="V66" s="218">
        <f>MIN(U66+Control!$E$48,Control!$E$49)</f>
        <v>-0.05</v>
      </c>
      <c r="W66" s="218">
        <f>MIN(V66+Control!$E$48,Control!$E$49)</f>
        <v>-0.05</v>
      </c>
      <c r="X66" s="218">
        <f>MIN(W66+Control!$E$48,Control!$E$49)</f>
        <v>-0.05</v>
      </c>
      <c r="Y66" s="218">
        <f>MIN(X66+Control!$E$48,Control!$E$49)</f>
        <v>-0.05</v>
      </c>
      <c r="Z66" s="218">
        <f>MIN(Y66+Control!$E$48,Control!$E$49)</f>
        <v>-0.05</v>
      </c>
      <c r="AA66" s="218">
        <f>MIN(Z66+Control!$E$48,Control!$E$49)</f>
        <v>-0.05</v>
      </c>
    </row>
    <row r="67" spans="2:27" outlineLevel="1" x14ac:dyDescent="0.45">
      <c r="H67" s="17"/>
      <c r="I67" s="17"/>
      <c r="J67" s="17"/>
      <c r="K67" s="17"/>
      <c r="L67" s="17"/>
    </row>
    <row r="68" spans="2:27" outlineLevel="1" x14ac:dyDescent="0.45">
      <c r="C68" s="5" t="s">
        <v>96</v>
      </c>
      <c r="D68" s="25" t="s">
        <v>20</v>
      </c>
      <c r="E68" s="100">
        <v>884</v>
      </c>
      <c r="F68" s="100">
        <v>1508</v>
      </c>
      <c r="G68" s="100">
        <v>2376</v>
      </c>
      <c r="H68" s="101">
        <f>H69*H$34</f>
        <v>2632.320819220105</v>
      </c>
      <c r="I68" s="101">
        <f t="shared" ref="I68:AA68" si="37">I69*I$34</f>
        <v>2763.6004193852909</v>
      </c>
      <c r="J68" s="101">
        <f t="shared" si="37"/>
        <v>2946.7686570187466</v>
      </c>
      <c r="K68" s="101">
        <f t="shared" si="37"/>
        <v>3266.5345253353039</v>
      </c>
      <c r="L68" s="101">
        <f t="shared" si="37"/>
        <v>3737.0179698091133</v>
      </c>
      <c r="M68" s="101">
        <f t="shared" si="37"/>
        <v>4173.9561226745109</v>
      </c>
      <c r="N68" s="101">
        <f t="shared" si="37"/>
        <v>4577.772416584181</v>
      </c>
      <c r="O68" s="101">
        <f t="shared" si="37"/>
        <v>4948.9748186362103</v>
      </c>
      <c r="P68" s="101">
        <f t="shared" si="37"/>
        <v>5288.150891889748</v>
      </c>
      <c r="Q68" s="101">
        <f t="shared" si="37"/>
        <v>5595.9626667438397</v>
      </c>
      <c r="R68" s="101">
        <f t="shared" si="37"/>
        <v>5873.1413555705212</v>
      </c>
      <c r="S68" s="101">
        <f t="shared" si="37"/>
        <v>6120.4819438380155</v>
      </c>
      <c r="T68" s="101">
        <f t="shared" si="37"/>
        <v>6338.8376905849291</v>
      </c>
      <c r="U68" s="101">
        <f t="shared" si="37"/>
        <v>6529.1145705214567</v>
      </c>
      <c r="V68" s="101">
        <f t="shared" si="37"/>
        <v>6692.2656892500672</v>
      </c>
      <c r="W68" s="101">
        <f t="shared" si="37"/>
        <v>6829.28570212864</v>
      </c>
      <c r="X68" s="101">
        <f t="shared" si="37"/>
        <v>6941.2052661570478</v>
      </c>
      <c r="Y68" s="101">
        <f t="shared" si="37"/>
        <v>7029.0855529684923</v>
      </c>
      <c r="Z68" s="101">
        <f t="shared" si="37"/>
        <v>7094.0128495649487</v>
      </c>
      <c r="AA68" s="101">
        <f t="shared" si="37"/>
        <v>7137.0932718677795</v>
      </c>
    </row>
    <row r="69" spans="2:27" outlineLevel="1" x14ac:dyDescent="0.45">
      <c r="C69" s="5" t="s">
        <v>205</v>
      </c>
      <c r="D69" s="25" t="s">
        <v>69</v>
      </c>
      <c r="E69" s="135">
        <f>E68/E$34</f>
        <v>384.34782608695656</v>
      </c>
      <c r="F69" s="135">
        <f t="shared" ref="F69:G69" si="38">F68/F$34</f>
        <v>342.72727272727269</v>
      </c>
      <c r="G69" s="135">
        <f t="shared" si="38"/>
        <v>266.96629213483146</v>
      </c>
      <c r="H69" s="135">
        <f>G69*(1+H70)</f>
        <v>177.66294516844405</v>
      </c>
      <c r="I69" s="135">
        <f t="shared" ref="I69" si="39">H69*(1+I70)</f>
        <v>131.55733307817937</v>
      </c>
      <c r="J69" s="135">
        <f t="shared" ref="J69" si="40">I69*(1+J70)</f>
        <v>107.28346652454688</v>
      </c>
      <c r="K69" s="135">
        <f t="shared" ref="K69" si="41">J69*(1+K70)</f>
        <v>95.534672229225691</v>
      </c>
      <c r="L69" s="135">
        <f t="shared" ref="L69" si="42">K69*(1+L70)</f>
        <v>90.75793861776441</v>
      </c>
      <c r="M69" s="135">
        <f t="shared" ref="M69" si="43">L69*(1+M70)</f>
        <v>86.220041686876186</v>
      </c>
      <c r="N69" s="135">
        <f t="shared" ref="N69" si="44">M69*(1+N70)</f>
        <v>81.909039602532374</v>
      </c>
      <c r="O69" s="135">
        <f t="shared" ref="O69" si="45">N69*(1+O70)</f>
        <v>77.813587622405748</v>
      </c>
      <c r="P69" s="135">
        <f t="shared" ref="P69" si="46">O69*(1+P70)</f>
        <v>73.922908241285455</v>
      </c>
      <c r="Q69" s="135">
        <f t="shared" ref="Q69" si="47">P69*(1+Q70)</f>
        <v>70.226762829221173</v>
      </c>
      <c r="R69" s="135">
        <f t="shared" ref="R69" si="48">Q69*(1+R70)</f>
        <v>66.715424687760105</v>
      </c>
      <c r="S69" s="135">
        <f t="shared" ref="S69" si="49">R69*(1+S70)</f>
        <v>63.3796534533721</v>
      </c>
      <c r="T69" s="135">
        <f t="shared" ref="T69" si="50">S69*(1+T70)</f>
        <v>60.210670780703495</v>
      </c>
      <c r="U69" s="135">
        <f t="shared" ref="U69" si="51">T69*(1+U70)</f>
        <v>57.200137241668315</v>
      </c>
      <c r="V69" s="135">
        <f t="shared" ref="V69" si="52">U69*(1+V70)</f>
        <v>54.340130379584899</v>
      </c>
      <c r="W69" s="135">
        <f t="shared" ref="W69" si="53">V69*(1+W70)</f>
        <v>51.623123860605652</v>
      </c>
      <c r="X69" s="135">
        <f t="shared" ref="X69" si="54">W69*(1+X70)</f>
        <v>49.041967667575371</v>
      </c>
      <c r="Y69" s="135">
        <f t="shared" ref="Y69" si="55">X69*(1+Y70)</f>
        <v>46.589869284196602</v>
      </c>
      <c r="Z69" s="135">
        <f t="shared" ref="Z69" si="56">Y69*(1+Z70)</f>
        <v>44.26037581998677</v>
      </c>
      <c r="AA69" s="135">
        <f t="shared" ref="AA69" si="57">Z69*(1+AA70)</f>
        <v>42.047357028987427</v>
      </c>
    </row>
    <row r="70" spans="2:27" outlineLevel="1" x14ac:dyDescent="0.45">
      <c r="C70" s="14" t="s">
        <v>13</v>
      </c>
      <c r="D70" s="25" t="s">
        <v>18</v>
      </c>
      <c r="E70" s="12"/>
      <c r="F70" s="12">
        <f>F69/E69-1</f>
        <v>-0.10828877005347615</v>
      </c>
      <c r="G70" s="12">
        <f>G69/F69-1</f>
        <v>-0.22105325902303807</v>
      </c>
      <c r="H70" s="137">
        <f>H66</f>
        <v>-0.33451169528655217</v>
      </c>
      <c r="I70" s="137">
        <f t="shared" ref="I70:AA70" si="58">I66</f>
        <v>-0.25951169528655216</v>
      </c>
      <c r="J70" s="137">
        <f t="shared" si="58"/>
        <v>-0.18451169528655215</v>
      </c>
      <c r="K70" s="137">
        <f t="shared" si="58"/>
        <v>-0.10951169528655215</v>
      </c>
      <c r="L70" s="137">
        <f t="shared" si="58"/>
        <v>-0.05</v>
      </c>
      <c r="M70" s="137">
        <f t="shared" si="58"/>
        <v>-0.05</v>
      </c>
      <c r="N70" s="137">
        <f t="shared" si="58"/>
        <v>-0.05</v>
      </c>
      <c r="O70" s="137">
        <f t="shared" si="58"/>
        <v>-0.05</v>
      </c>
      <c r="P70" s="137">
        <f t="shared" si="58"/>
        <v>-0.05</v>
      </c>
      <c r="Q70" s="137">
        <f t="shared" si="58"/>
        <v>-0.05</v>
      </c>
      <c r="R70" s="137">
        <f t="shared" si="58"/>
        <v>-0.05</v>
      </c>
      <c r="S70" s="137">
        <f t="shared" si="58"/>
        <v>-0.05</v>
      </c>
      <c r="T70" s="137">
        <f t="shared" si="58"/>
        <v>-0.05</v>
      </c>
      <c r="U70" s="137">
        <f t="shared" si="58"/>
        <v>-0.05</v>
      </c>
      <c r="V70" s="137">
        <f t="shared" si="58"/>
        <v>-0.05</v>
      </c>
      <c r="W70" s="137">
        <f t="shared" si="58"/>
        <v>-0.05</v>
      </c>
      <c r="X70" s="137">
        <f t="shared" si="58"/>
        <v>-0.05</v>
      </c>
      <c r="Y70" s="137">
        <f t="shared" si="58"/>
        <v>-0.05</v>
      </c>
      <c r="Z70" s="137">
        <f t="shared" si="58"/>
        <v>-0.05</v>
      </c>
      <c r="AA70" s="137">
        <f t="shared" si="58"/>
        <v>-0.05</v>
      </c>
    </row>
    <row r="71" spans="2:27" outlineLevel="1" x14ac:dyDescent="0.45">
      <c r="H71" s="17"/>
      <c r="I71" s="17"/>
      <c r="J71" s="17"/>
      <c r="K71" s="17"/>
      <c r="L71" s="17"/>
    </row>
    <row r="72" spans="2:27" outlineLevel="1" x14ac:dyDescent="0.45">
      <c r="C72" s="5" t="s">
        <v>94</v>
      </c>
      <c r="D72" s="25" t="s">
        <v>20</v>
      </c>
      <c r="E72" s="101">
        <f>Control!E169*E55/Control!E138</f>
        <v>747.20458265139121</v>
      </c>
      <c r="F72" s="101">
        <f>Control!F169*F55/Control!F138</f>
        <v>907.10859793078839</v>
      </c>
      <c r="G72" s="101">
        <f>Control!G169*G55/Control!G138</f>
        <v>1273.8268715861625</v>
      </c>
      <c r="H72" s="101">
        <f>(H55-G55)*H73</f>
        <v>1434.3679537129115</v>
      </c>
      <c r="I72" s="101">
        <f t="shared" ref="I72:AA72" si="59">(I55-H55)*I73</f>
        <v>1189.2661081594197</v>
      </c>
      <c r="J72" s="101">
        <f t="shared" si="59"/>
        <v>860.62902290333375</v>
      </c>
      <c r="K72" s="101">
        <f t="shared" si="59"/>
        <v>603.28902401663765</v>
      </c>
      <c r="L72" s="101">
        <f t="shared" si="59"/>
        <v>388.126725147005</v>
      </c>
      <c r="M72" s="101">
        <f t="shared" si="59"/>
        <v>385.55785065759341</v>
      </c>
      <c r="N72" s="101">
        <f t="shared" si="59"/>
        <v>390.76081038398553</v>
      </c>
      <c r="O72" s="101">
        <f t="shared" si="59"/>
        <v>372.18821778444766</v>
      </c>
      <c r="P72" s="101">
        <f t="shared" si="59"/>
        <v>354.01243923190924</v>
      </c>
      <c r="Q72" s="101">
        <f t="shared" si="59"/>
        <v>336.25883841940231</v>
      </c>
      <c r="R72" s="101">
        <f t="shared" si="59"/>
        <v>318.94729949005705</v>
      </c>
      <c r="S72" s="101">
        <f t="shared" si="59"/>
        <v>302.09231481804602</v>
      </c>
      <c r="T72" s="101">
        <f t="shared" si="59"/>
        <v>285.7031244474187</v>
      </c>
      <c r="U72" s="101">
        <f t="shared" si="59"/>
        <v>269.78390574362857</v>
      </c>
      <c r="V72" s="101">
        <f t="shared" si="59"/>
        <v>254.33401122704527</v>
      </c>
      <c r="W72" s="101">
        <f t="shared" si="59"/>
        <v>239.3482519808953</v>
      </c>
      <c r="X72" s="101">
        <f t="shared" si="59"/>
        <v>224.81722346612952</v>
      </c>
      <c r="Y72" s="101">
        <f t="shared" si="59"/>
        <v>210.72767004159107</v>
      </c>
      <c r="Z72" s="101">
        <f t="shared" si="59"/>
        <v>197.06288398768231</v>
      </c>
      <c r="AA72" s="101">
        <f t="shared" si="59"/>
        <v>183.80313437458244</v>
      </c>
    </row>
    <row r="73" spans="2:27" outlineLevel="1" x14ac:dyDescent="0.45">
      <c r="C73" s="14" t="s">
        <v>95</v>
      </c>
      <c r="D73" s="25" t="s">
        <v>18</v>
      </c>
      <c r="E73" s="12"/>
      <c r="F73" s="12">
        <f>F72/(F55-E55)</f>
        <v>0.24319265360074757</v>
      </c>
      <c r="G73" s="12">
        <f>G72/(G55-F55)</f>
        <v>0.33627953315368597</v>
      </c>
      <c r="H73" s="38">
        <v>0.3</v>
      </c>
      <c r="I73" s="38">
        <v>0.25</v>
      </c>
      <c r="J73" s="38">
        <v>0.2</v>
      </c>
      <c r="K73" s="38">
        <v>0.15</v>
      </c>
      <c r="L73" s="38">
        <v>0.1</v>
      </c>
      <c r="M73" s="137">
        <f>L73</f>
        <v>0.1</v>
      </c>
      <c r="N73" s="137">
        <f t="shared" ref="N73:AA73" si="60">M73</f>
        <v>0.1</v>
      </c>
      <c r="O73" s="137">
        <f t="shared" si="60"/>
        <v>0.1</v>
      </c>
      <c r="P73" s="137">
        <f t="shared" si="60"/>
        <v>0.1</v>
      </c>
      <c r="Q73" s="137">
        <f t="shared" si="60"/>
        <v>0.1</v>
      </c>
      <c r="R73" s="137">
        <f t="shared" si="60"/>
        <v>0.1</v>
      </c>
      <c r="S73" s="137">
        <f t="shared" si="60"/>
        <v>0.1</v>
      </c>
      <c r="T73" s="137">
        <f t="shared" si="60"/>
        <v>0.1</v>
      </c>
      <c r="U73" s="137">
        <f t="shared" si="60"/>
        <v>0.1</v>
      </c>
      <c r="V73" s="137">
        <f t="shared" si="60"/>
        <v>0.1</v>
      </c>
      <c r="W73" s="137">
        <f t="shared" si="60"/>
        <v>0.1</v>
      </c>
      <c r="X73" s="137">
        <f t="shared" si="60"/>
        <v>0.1</v>
      </c>
      <c r="Y73" s="137">
        <f t="shared" si="60"/>
        <v>0.1</v>
      </c>
      <c r="Z73" s="137">
        <f t="shared" si="60"/>
        <v>0.1</v>
      </c>
      <c r="AA73" s="137">
        <f t="shared" si="60"/>
        <v>0.1</v>
      </c>
    </row>
    <row r="74" spans="2:27" x14ac:dyDescent="0.45">
      <c r="H74" s="17"/>
      <c r="I74" s="17"/>
      <c r="J74" s="17"/>
      <c r="K74" s="17"/>
      <c r="L74" s="17"/>
    </row>
    <row r="75" spans="2:27" x14ac:dyDescent="0.45">
      <c r="B75" s="7"/>
      <c r="C75" s="7"/>
      <c r="D75" s="7"/>
      <c r="E75" s="21" t="str">
        <f>Control!$E$131</f>
        <v>Historical:</v>
      </c>
      <c r="F75" s="21"/>
      <c r="G75" s="22"/>
      <c r="H75" s="21" t="str">
        <f>Control!$H$131</f>
        <v>Projected:</v>
      </c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</row>
    <row r="76" spans="2:27" x14ac:dyDescent="0.45">
      <c r="B76" s="8" t="str">
        <f>Div_1&amp;" - Free Cash Flow Projections:"</f>
        <v>Starlink - Free Cash Flow Projections:</v>
      </c>
      <c r="C76" s="8"/>
      <c r="D76" s="24" t="str">
        <f>Control!$D$132</f>
        <v>Units:</v>
      </c>
      <c r="E76" s="2">
        <f>Control!$E$132</f>
        <v>45291</v>
      </c>
      <c r="F76" s="2">
        <f>Control!$F$132</f>
        <v>45657</v>
      </c>
      <c r="G76" s="3">
        <f>Control!$G$132</f>
        <v>46022</v>
      </c>
      <c r="H76" s="2">
        <f>Control!$H$132</f>
        <v>46387</v>
      </c>
      <c r="I76" s="4">
        <f>Control!$I$132</f>
        <v>46752</v>
      </c>
      <c r="J76" s="4">
        <f>Control!$J$132</f>
        <v>47118</v>
      </c>
      <c r="K76" s="4">
        <f>Control!$K$132</f>
        <v>47483</v>
      </c>
      <c r="L76" s="4">
        <f>Control!$L$132</f>
        <v>47848</v>
      </c>
      <c r="M76" s="4">
        <f>Control!$M$132</f>
        <v>48213</v>
      </c>
      <c r="N76" s="4">
        <f>Control!$N$132</f>
        <v>48579</v>
      </c>
      <c r="O76" s="4">
        <f>Control!$O$132</f>
        <v>48944</v>
      </c>
      <c r="P76" s="4">
        <f>Control!$P$132</f>
        <v>49309</v>
      </c>
      <c r="Q76" s="4">
        <f>Control!$Q$132</f>
        <v>49674</v>
      </c>
      <c r="R76" s="4">
        <f>Control!$R$132</f>
        <v>50040</v>
      </c>
      <c r="S76" s="4">
        <f>Control!$S$132</f>
        <v>50405</v>
      </c>
      <c r="T76" s="4">
        <f>Control!$T$132</f>
        <v>50770</v>
      </c>
      <c r="U76" s="4">
        <f>Control!$U$132</f>
        <v>51135</v>
      </c>
      <c r="V76" s="4">
        <f>Control!$V$132</f>
        <v>51501</v>
      </c>
      <c r="W76" s="4">
        <f>Control!$W$132</f>
        <v>51866</v>
      </c>
      <c r="X76" s="4">
        <f>Control!$X$132</f>
        <v>52231</v>
      </c>
      <c r="Y76" s="4">
        <f>Control!$Y$132</f>
        <v>52596</v>
      </c>
      <c r="Z76" s="4">
        <f>Control!$Z$132</f>
        <v>52962</v>
      </c>
      <c r="AA76" s="4">
        <f>Control!$AA$132</f>
        <v>53327</v>
      </c>
    </row>
    <row r="77" spans="2:27" outlineLevel="1" x14ac:dyDescent="0.45">
      <c r="C77" s="17" t="s">
        <v>91</v>
      </c>
      <c r="D77" s="25" t="s">
        <v>20</v>
      </c>
      <c r="E77" s="122">
        <f>E55</f>
        <v>3869</v>
      </c>
      <c r="F77" s="122">
        <f t="shared" ref="F77" si="61">F55</f>
        <v>7599</v>
      </c>
      <c r="G77" s="122">
        <f t="shared" ref="G77:AA77" si="62">G55</f>
        <v>11387</v>
      </c>
      <c r="H77" s="122">
        <f t="shared" si="62"/>
        <v>16168.226512376372</v>
      </c>
      <c r="I77" s="122">
        <f t="shared" si="62"/>
        <v>20925.290945014051</v>
      </c>
      <c r="J77" s="122">
        <f t="shared" si="62"/>
        <v>25228.436059530719</v>
      </c>
      <c r="K77" s="122">
        <f t="shared" si="62"/>
        <v>29250.362886308303</v>
      </c>
      <c r="L77" s="122">
        <f t="shared" si="62"/>
        <v>33131.630137778353</v>
      </c>
      <c r="M77" s="122">
        <f t="shared" si="62"/>
        <v>36987.208644354287</v>
      </c>
      <c r="N77" s="122">
        <f t="shared" si="62"/>
        <v>40894.816748194142</v>
      </c>
      <c r="O77" s="122">
        <f t="shared" si="62"/>
        <v>44616.698926038618</v>
      </c>
      <c r="P77" s="122">
        <f t="shared" si="62"/>
        <v>48156.82331835771</v>
      </c>
      <c r="Q77" s="122">
        <f t="shared" si="62"/>
        <v>51519.411702551733</v>
      </c>
      <c r="R77" s="122">
        <f t="shared" si="62"/>
        <v>54708.884697452304</v>
      </c>
      <c r="S77" s="122">
        <f t="shared" si="62"/>
        <v>57729.807845632764</v>
      </c>
      <c r="T77" s="122">
        <f t="shared" si="62"/>
        <v>60586.839090106951</v>
      </c>
      <c r="U77" s="122">
        <f t="shared" si="62"/>
        <v>63284.678147543236</v>
      </c>
      <c r="V77" s="122">
        <f t="shared" si="62"/>
        <v>65828.018259813689</v>
      </c>
      <c r="W77" s="122">
        <f t="shared" si="62"/>
        <v>68221.500779622642</v>
      </c>
      <c r="X77" s="122">
        <f t="shared" si="62"/>
        <v>70469.673014283937</v>
      </c>
      <c r="Y77" s="122">
        <f t="shared" si="62"/>
        <v>72576.949714699847</v>
      </c>
      <c r="Z77" s="122">
        <f t="shared" si="62"/>
        <v>74547.57855457667</v>
      </c>
      <c r="AA77" s="122">
        <f t="shared" si="62"/>
        <v>76385.609898322495</v>
      </c>
    </row>
    <row r="78" spans="2:27" outlineLevel="1" x14ac:dyDescent="0.45">
      <c r="C78" s="27" t="s">
        <v>23</v>
      </c>
      <c r="D78" s="25" t="s">
        <v>18</v>
      </c>
      <c r="F78" s="28">
        <f>F77/E77-1</f>
        <v>0.96407340398035668</v>
      </c>
      <c r="G78" s="28">
        <f>G77/F77-1</f>
        <v>0.49848664297933931</v>
      </c>
      <c r="H78" s="28">
        <f t="shared" ref="H78:AA78" si="63">H77/G77-1</f>
        <v>0.41988465024821031</v>
      </c>
      <c r="I78" s="28">
        <f t="shared" si="63"/>
        <v>0.29422302000756018</v>
      </c>
      <c r="J78" s="28">
        <f t="shared" si="63"/>
        <v>0.20564326325613136</v>
      </c>
      <c r="K78" s="28">
        <f t="shared" si="63"/>
        <v>0.15942037854772972</v>
      </c>
      <c r="L78" s="28">
        <f t="shared" si="63"/>
        <v>0.13269125126946091</v>
      </c>
      <c r="M78" s="28">
        <f t="shared" si="63"/>
        <v>0.11637153048438775</v>
      </c>
      <c r="N78" s="28">
        <f t="shared" si="63"/>
        <v>0.10564755349377553</v>
      </c>
      <c r="O78" s="28">
        <f t="shared" si="63"/>
        <v>9.1011098075377328E-2</v>
      </c>
      <c r="P78" s="28">
        <f t="shared" si="63"/>
        <v>7.9345278282187071E-2</v>
      </c>
      <c r="Q78" s="28">
        <f t="shared" si="63"/>
        <v>6.9825793158415861E-2</v>
      </c>
      <c r="R78" s="28">
        <f t="shared" si="63"/>
        <v>6.1908179645277173E-2</v>
      </c>
      <c r="S78" s="28">
        <f t="shared" si="63"/>
        <v>5.5218145368646887E-2</v>
      </c>
      <c r="T78" s="28">
        <f t="shared" si="63"/>
        <v>4.9489706463492489E-2</v>
      </c>
      <c r="U78" s="28">
        <f t="shared" si="63"/>
        <v>4.4528466874199646E-2</v>
      </c>
      <c r="V78" s="28">
        <f t="shared" si="63"/>
        <v>4.0188876466130674E-2</v>
      </c>
      <c r="W78" s="28">
        <f t="shared" si="63"/>
        <v>3.6359632009006049E-2</v>
      </c>
      <c r="X78" s="28">
        <f t="shared" si="63"/>
        <v>3.2954013162560303E-2</v>
      </c>
      <c r="Y78" s="28">
        <f t="shared" si="63"/>
        <v>2.9903313159815204E-2</v>
      </c>
      <c r="Z78" s="28">
        <f t="shared" si="63"/>
        <v>2.7152268697201665E-2</v>
      </c>
      <c r="AA78" s="28">
        <f t="shared" si="63"/>
        <v>2.4655815512507839E-2</v>
      </c>
    </row>
    <row r="79" spans="2:27" outlineLevel="1" x14ac:dyDescent="0.45"/>
    <row r="80" spans="2:27" outlineLevel="1" x14ac:dyDescent="0.45">
      <c r="C80" s="17" t="s">
        <v>92</v>
      </c>
      <c r="D80" s="26" t="s">
        <v>20</v>
      </c>
      <c r="E80" s="102">
        <f>E55+E58+E61</f>
        <v>469</v>
      </c>
      <c r="F80" s="102">
        <f>F55+F58+F61</f>
        <v>2045</v>
      </c>
      <c r="G80" s="102">
        <f>G55+G58+G61</f>
        <v>4423</v>
      </c>
      <c r="H80" s="102">
        <f t="shared" ref="H80:AA80" si="64">H55+H58+H61</f>
        <v>6619.665526191935</v>
      </c>
      <c r="I80" s="102">
        <f t="shared" si="64"/>
        <v>9006.7325668245558</v>
      </c>
      <c r="J80" s="102">
        <f t="shared" si="64"/>
        <v>11388.677013825276</v>
      </c>
      <c r="K80" s="102">
        <f t="shared" si="64"/>
        <v>13818.491010132611</v>
      </c>
      <c r="L80" s="102">
        <f t="shared" si="64"/>
        <v>16069.364345058628</v>
      </c>
      <c r="M80" s="102">
        <f t="shared" si="64"/>
        <v>18346.201184539415</v>
      </c>
      <c r="N80" s="102">
        <f t="shared" si="64"/>
        <v>20734.232343500295</v>
      </c>
      <c r="O80" s="102">
        <f t="shared" si="64"/>
        <v>23112.014266454782</v>
      </c>
      <c r="P80" s="102">
        <f t="shared" si="64"/>
        <v>25475.517777325513</v>
      </c>
      <c r="Q80" s="102">
        <f t="shared" si="64"/>
        <v>27821.025248104048</v>
      </c>
      <c r="R80" s="102">
        <f t="shared" si="64"/>
        <v>30145.114354705918</v>
      </c>
      <c r="S80" s="102">
        <f t="shared" si="64"/>
        <v>32444.638710005522</v>
      </c>
      <c r="T80" s="102">
        <f t="shared" si="64"/>
        <v>34716.705737639226</v>
      </c>
      <c r="U80" s="102">
        <f t="shared" si="64"/>
        <v>36958.652187179614</v>
      </c>
      <c r="V80" s="102">
        <f t="shared" si="64"/>
        <v>39168.017723383862</v>
      </c>
      <c r="W80" s="102">
        <f t="shared" si="64"/>
        <v>41342.517048813606</v>
      </c>
      <c r="X80" s="102">
        <f t="shared" si="64"/>
        <v>43480.011039681318</v>
      </c>
      <c r="Y80" s="102">
        <f t="shared" si="64"/>
        <v>45578.477388847044</v>
      </c>
      <c r="Z80" s="102">
        <f t="shared" si="64"/>
        <v>47635.981257096588</v>
      </c>
      <c r="AA80" s="102">
        <f t="shared" si="64"/>
        <v>49650.646433909606</v>
      </c>
    </row>
    <row r="81" spans="3:27" outlineLevel="1" x14ac:dyDescent="0.45">
      <c r="C81" s="27" t="s">
        <v>93</v>
      </c>
      <c r="D81" s="25" t="s">
        <v>18</v>
      </c>
      <c r="E81" s="28">
        <f>E80/E77</f>
        <v>0.12121995347635048</v>
      </c>
      <c r="F81" s="28">
        <f t="shared" ref="F81:G81" si="65">F80/F77</f>
        <v>0.2691143571522569</v>
      </c>
      <c r="G81" s="28">
        <f t="shared" si="65"/>
        <v>0.3884253973829806</v>
      </c>
      <c r="H81" s="28">
        <f t="shared" ref="H81" si="66">H80/H77</f>
        <v>0.40942434354966184</v>
      </c>
      <c r="I81" s="28">
        <f t="shared" ref="I81" si="67">I80/I77</f>
        <v>0.43042328971634319</v>
      </c>
      <c r="J81" s="28">
        <f t="shared" ref="J81" si="68">J80/J77</f>
        <v>0.45142223588302444</v>
      </c>
      <c r="K81" s="28">
        <f t="shared" ref="K81" si="69">K80/K77</f>
        <v>0.47242118204970573</v>
      </c>
      <c r="L81" s="28">
        <f t="shared" ref="L81" si="70">L80/L77</f>
        <v>0.4850158074997804</v>
      </c>
      <c r="M81" s="28">
        <f t="shared" ref="M81" si="71">M80/M77</f>
        <v>0.49601475366646175</v>
      </c>
      <c r="N81" s="28">
        <f t="shared" ref="N81" si="72">N80/N77</f>
        <v>0.50701369983314304</v>
      </c>
      <c r="O81" s="28">
        <f t="shared" ref="O81" si="73">O80/O77</f>
        <v>0.51801264599982422</v>
      </c>
      <c r="P81" s="28">
        <f t="shared" ref="P81" si="74">P80/P77</f>
        <v>0.52901159216650551</v>
      </c>
      <c r="Q81" s="28">
        <f t="shared" ref="Q81" si="75">Q80/Q77</f>
        <v>0.5400105383331868</v>
      </c>
      <c r="R81" s="28">
        <f t="shared" ref="R81" si="76">R80/R77</f>
        <v>0.55100948449986809</v>
      </c>
      <c r="S81" s="28">
        <f t="shared" ref="S81" si="77">S80/S77</f>
        <v>0.56200843066654937</v>
      </c>
      <c r="T81" s="28">
        <f t="shared" ref="T81" si="78">T80/T77</f>
        <v>0.57300737683323066</v>
      </c>
      <c r="U81" s="28">
        <f t="shared" ref="U81" si="79">U80/U77</f>
        <v>0.58400632299991206</v>
      </c>
      <c r="V81" s="28">
        <f t="shared" ref="V81" si="80">V80/V77</f>
        <v>0.59500526916659324</v>
      </c>
      <c r="W81" s="28">
        <f t="shared" ref="W81" si="81">W80/W77</f>
        <v>0.60600421533327464</v>
      </c>
      <c r="X81" s="28">
        <f t="shared" ref="X81" si="82">X80/X77</f>
        <v>0.61700316149995593</v>
      </c>
      <c r="Y81" s="28">
        <f t="shared" ref="Y81" si="83">Y80/Y77</f>
        <v>0.62800210766663711</v>
      </c>
      <c r="Z81" s="28">
        <f t="shared" ref="Z81" si="84">Z80/Z77</f>
        <v>0.63900105383331851</v>
      </c>
      <c r="AA81" s="28">
        <f t="shared" ref="AA81" si="85">AA80/AA77</f>
        <v>0.6499999999999998</v>
      </c>
    </row>
    <row r="82" spans="3:27" outlineLevel="1" x14ac:dyDescent="0.45">
      <c r="C82" s="14"/>
      <c r="H82" s="101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</row>
    <row r="83" spans="3:27" outlineLevel="1" x14ac:dyDescent="0.45">
      <c r="C83" s="14" t="s">
        <v>21</v>
      </c>
      <c r="D83" s="26" t="s">
        <v>20</v>
      </c>
      <c r="E83" s="101">
        <f t="shared" ref="E83:AA83" si="86">-MAX(0,E80)*Tax_Rate</f>
        <v>-117.25</v>
      </c>
      <c r="F83" s="101">
        <f t="shared" si="86"/>
        <v>-511.25</v>
      </c>
      <c r="G83" s="101">
        <f t="shared" si="86"/>
        <v>-1105.75</v>
      </c>
      <c r="H83" s="101">
        <f t="shared" si="86"/>
        <v>-1654.9163815479837</v>
      </c>
      <c r="I83" s="101">
        <f t="shared" si="86"/>
        <v>-2251.6831417061389</v>
      </c>
      <c r="J83" s="101">
        <f t="shared" si="86"/>
        <v>-2847.169253456319</v>
      </c>
      <c r="K83" s="101">
        <f t="shared" si="86"/>
        <v>-3454.6227525331528</v>
      </c>
      <c r="L83" s="101">
        <f t="shared" si="86"/>
        <v>-4017.341086264657</v>
      </c>
      <c r="M83" s="101">
        <f t="shared" si="86"/>
        <v>-4586.5502961348539</v>
      </c>
      <c r="N83" s="101">
        <f t="shared" si="86"/>
        <v>-5183.5580858750736</v>
      </c>
      <c r="O83" s="101">
        <f t="shared" si="86"/>
        <v>-5778.0035666136955</v>
      </c>
      <c r="P83" s="101">
        <f t="shared" si="86"/>
        <v>-6368.8794443313782</v>
      </c>
      <c r="Q83" s="101">
        <f t="shared" si="86"/>
        <v>-6955.256312026012</v>
      </c>
      <c r="R83" s="101">
        <f t="shared" si="86"/>
        <v>-7536.2785886764796</v>
      </c>
      <c r="S83" s="101">
        <f t="shared" si="86"/>
        <v>-8111.1596775013804</v>
      </c>
      <c r="T83" s="101">
        <f t="shared" si="86"/>
        <v>-8679.1764344098065</v>
      </c>
      <c r="U83" s="101">
        <f t="shared" si="86"/>
        <v>-9239.6630467949035</v>
      </c>
      <c r="V83" s="101">
        <f t="shared" si="86"/>
        <v>-9792.0044308459655</v>
      </c>
      <c r="W83" s="101">
        <f t="shared" si="86"/>
        <v>-10335.629262203402</v>
      </c>
      <c r="X83" s="101">
        <f t="shared" si="86"/>
        <v>-10870.002759920329</v>
      </c>
      <c r="Y83" s="101">
        <f t="shared" si="86"/>
        <v>-11394.619347211761</v>
      </c>
      <c r="Z83" s="101">
        <f t="shared" si="86"/>
        <v>-11908.995314274147</v>
      </c>
      <c r="AA83" s="101">
        <f t="shared" si="86"/>
        <v>-12412.661608477401</v>
      </c>
    </row>
    <row r="84" spans="3:27" outlineLevel="1" x14ac:dyDescent="0.45">
      <c r="C84" s="17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</row>
    <row r="85" spans="3:27" outlineLevel="1" x14ac:dyDescent="0.45">
      <c r="C85" s="17" t="s">
        <v>3</v>
      </c>
      <c r="D85" s="26" t="s">
        <v>20</v>
      </c>
      <c r="E85" s="102">
        <f t="shared" ref="E85:G85" si="87">E80+E83</f>
        <v>351.75</v>
      </c>
      <c r="F85" s="102">
        <f t="shared" si="87"/>
        <v>1533.75</v>
      </c>
      <c r="G85" s="102">
        <f t="shared" si="87"/>
        <v>3317.25</v>
      </c>
      <c r="H85" s="102">
        <f>H80+H83</f>
        <v>4964.7491446439508</v>
      </c>
      <c r="I85" s="102">
        <f t="shared" ref="I85:AA85" si="88">I80+I83</f>
        <v>6755.0494251184173</v>
      </c>
      <c r="J85" s="102">
        <f t="shared" si="88"/>
        <v>8541.507760368957</v>
      </c>
      <c r="K85" s="102">
        <f t="shared" si="88"/>
        <v>10363.868257599459</v>
      </c>
      <c r="L85" s="102">
        <f t="shared" si="88"/>
        <v>12052.023258793972</v>
      </c>
      <c r="M85" s="102">
        <f t="shared" si="88"/>
        <v>13759.650888404562</v>
      </c>
      <c r="N85" s="102">
        <f t="shared" si="88"/>
        <v>15550.674257625222</v>
      </c>
      <c r="O85" s="102">
        <f t="shared" si="88"/>
        <v>17334.010699841085</v>
      </c>
      <c r="P85" s="102">
        <f t="shared" si="88"/>
        <v>19106.638332994135</v>
      </c>
      <c r="Q85" s="102">
        <f t="shared" si="88"/>
        <v>20865.768936078035</v>
      </c>
      <c r="R85" s="102">
        <f t="shared" si="88"/>
        <v>22608.835766029439</v>
      </c>
      <c r="S85" s="102">
        <f t="shared" si="88"/>
        <v>24333.479032504139</v>
      </c>
      <c r="T85" s="102">
        <f t="shared" si="88"/>
        <v>26037.529303229421</v>
      </c>
      <c r="U85" s="102">
        <f t="shared" si="88"/>
        <v>27718.98914038471</v>
      </c>
      <c r="V85" s="102">
        <f t="shared" si="88"/>
        <v>29376.013292537897</v>
      </c>
      <c r="W85" s="102">
        <f t="shared" si="88"/>
        <v>31006.887786610205</v>
      </c>
      <c r="X85" s="102">
        <f t="shared" si="88"/>
        <v>32610.008279760987</v>
      </c>
      <c r="Y85" s="102">
        <f t="shared" si="88"/>
        <v>34183.858041635285</v>
      </c>
      <c r="Z85" s="102">
        <f t="shared" si="88"/>
        <v>35726.985942822444</v>
      </c>
      <c r="AA85" s="102">
        <f t="shared" si="88"/>
        <v>37237.984825432206</v>
      </c>
    </row>
    <row r="86" spans="3:27" outlineLevel="1" x14ac:dyDescent="0.45">
      <c r="C86" s="17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</row>
    <row r="87" spans="3:27" outlineLevel="1" x14ac:dyDescent="0.45">
      <c r="C87" s="14" t="s">
        <v>26</v>
      </c>
      <c r="D87" s="26" t="s">
        <v>20</v>
      </c>
      <c r="E87" s="101">
        <f t="shared" ref="E87:G87" si="89">E68</f>
        <v>884</v>
      </c>
      <c r="F87" s="101">
        <f t="shared" si="89"/>
        <v>1508</v>
      </c>
      <c r="G87" s="101">
        <f t="shared" si="89"/>
        <v>2376</v>
      </c>
      <c r="H87" s="101">
        <f>H68</f>
        <v>2632.320819220105</v>
      </c>
      <c r="I87" s="101">
        <f t="shared" ref="I87:AA87" si="90">I68</f>
        <v>2763.6004193852909</v>
      </c>
      <c r="J87" s="101">
        <f t="shared" si="90"/>
        <v>2946.7686570187466</v>
      </c>
      <c r="K87" s="101">
        <f t="shared" si="90"/>
        <v>3266.5345253353039</v>
      </c>
      <c r="L87" s="101">
        <f t="shared" si="90"/>
        <v>3737.0179698091133</v>
      </c>
      <c r="M87" s="101">
        <f t="shared" si="90"/>
        <v>4173.9561226745109</v>
      </c>
      <c r="N87" s="101">
        <f t="shared" si="90"/>
        <v>4577.772416584181</v>
      </c>
      <c r="O87" s="101">
        <f t="shared" si="90"/>
        <v>4948.9748186362103</v>
      </c>
      <c r="P87" s="101">
        <f t="shared" si="90"/>
        <v>5288.150891889748</v>
      </c>
      <c r="Q87" s="101">
        <f t="shared" si="90"/>
        <v>5595.9626667438397</v>
      </c>
      <c r="R87" s="101">
        <f t="shared" si="90"/>
        <v>5873.1413555705212</v>
      </c>
      <c r="S87" s="101">
        <f t="shared" si="90"/>
        <v>6120.4819438380155</v>
      </c>
      <c r="T87" s="101">
        <f t="shared" si="90"/>
        <v>6338.8376905849291</v>
      </c>
      <c r="U87" s="101">
        <f t="shared" si="90"/>
        <v>6529.1145705214567</v>
      </c>
      <c r="V87" s="101">
        <f t="shared" si="90"/>
        <v>6692.2656892500672</v>
      </c>
      <c r="W87" s="101">
        <f t="shared" si="90"/>
        <v>6829.28570212864</v>
      </c>
      <c r="X87" s="101">
        <f t="shared" si="90"/>
        <v>6941.2052661570478</v>
      </c>
      <c r="Y87" s="101">
        <f t="shared" si="90"/>
        <v>7029.0855529684923</v>
      </c>
      <c r="Z87" s="101">
        <f t="shared" si="90"/>
        <v>7094.0128495649487</v>
      </c>
      <c r="AA87" s="101">
        <f t="shared" si="90"/>
        <v>7137.0932718677795</v>
      </c>
    </row>
    <row r="88" spans="3:27" outlineLevel="1" x14ac:dyDescent="0.45">
      <c r="C88" s="136" t="s">
        <v>90</v>
      </c>
      <c r="D88" s="25" t="s">
        <v>18</v>
      </c>
      <c r="E88" s="138">
        <f t="shared" ref="E88:AA88" si="91">E87/E$77</f>
        <v>0.22848281209614887</v>
      </c>
      <c r="F88" s="138">
        <f t="shared" si="91"/>
        <v>0.19844716410053956</v>
      </c>
      <c r="G88" s="138">
        <f t="shared" si="91"/>
        <v>0.20865899710195837</v>
      </c>
      <c r="H88" s="138">
        <f t="shared" si="91"/>
        <v>0.16280825959514666</v>
      </c>
      <c r="I88" s="138">
        <f t="shared" si="91"/>
        <v>0.13206986830659981</v>
      </c>
      <c r="J88" s="138">
        <f t="shared" si="91"/>
        <v>0.11680346138243974</v>
      </c>
      <c r="K88" s="138">
        <f t="shared" si="91"/>
        <v>0.11167500854713582</v>
      </c>
      <c r="L88" s="138">
        <f t="shared" si="91"/>
        <v>0.11279306071776943</v>
      </c>
      <c r="M88" s="138">
        <f t="shared" si="91"/>
        <v>0.11284863810104313</v>
      </c>
      <c r="N88" s="138">
        <f t="shared" si="91"/>
        <v>0.11194016211813271</v>
      </c>
      <c r="O88" s="138">
        <f t="shared" si="91"/>
        <v>0.11092203004171503</v>
      </c>
      <c r="P88" s="138">
        <f t="shared" si="91"/>
        <v>0.10981104083486895</v>
      </c>
      <c r="Q88" s="138">
        <f t="shared" si="91"/>
        <v>0.10861852808126445</v>
      </c>
      <c r="R88" s="138">
        <f t="shared" si="91"/>
        <v>0.10735260621834652</v>
      </c>
      <c r="S88" s="138">
        <f t="shared" si="91"/>
        <v>0.10601944077492763</v>
      </c>
      <c r="T88" s="138">
        <f t="shared" si="91"/>
        <v>0.10462400392199994</v>
      </c>
      <c r="U88" s="138">
        <f t="shared" si="91"/>
        <v>0.1031705424067946</v>
      </c>
      <c r="V88" s="138">
        <f t="shared" si="91"/>
        <v>0.10166287647968772</v>
      </c>
      <c r="W88" s="138">
        <f t="shared" si="91"/>
        <v>0.10010459494565249</v>
      </c>
      <c r="X88" s="138">
        <f t="shared" si="91"/>
        <v>9.849918368075998E-2</v>
      </c>
      <c r="Y88" s="138">
        <f t="shared" si="91"/>
        <v>9.6850109857190794E-2</v>
      </c>
      <c r="Z88" s="138">
        <f t="shared" si="91"/>
        <v>9.5160875606058556E-2</v>
      </c>
      <c r="AA88" s="138">
        <f t="shared" si="91"/>
        <v>9.3435049891832017E-2</v>
      </c>
    </row>
    <row r="89" spans="3:27" outlineLevel="1" x14ac:dyDescent="0.45"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</row>
    <row r="90" spans="3:27" outlineLevel="1" x14ac:dyDescent="0.45">
      <c r="C90" s="14" t="s">
        <v>27</v>
      </c>
      <c r="D90" s="26" t="s">
        <v>20</v>
      </c>
      <c r="E90" s="101">
        <f t="shared" ref="E90:G90" si="92">E72</f>
        <v>747.20458265139121</v>
      </c>
      <c r="F90" s="101">
        <f t="shared" si="92"/>
        <v>907.10859793078839</v>
      </c>
      <c r="G90" s="101">
        <f t="shared" si="92"/>
        <v>1273.8268715861625</v>
      </c>
      <c r="H90" s="101">
        <f>H72</f>
        <v>1434.3679537129115</v>
      </c>
      <c r="I90" s="101">
        <f t="shared" ref="I90:AA90" si="93">I91*(I77-H77)</f>
        <v>951.41288652753576</v>
      </c>
      <c r="J90" s="101">
        <f t="shared" si="93"/>
        <v>645.47176717750028</v>
      </c>
      <c r="K90" s="101">
        <f t="shared" si="93"/>
        <v>402.19268267775846</v>
      </c>
      <c r="L90" s="101">
        <f t="shared" si="93"/>
        <v>388.126725147005</v>
      </c>
      <c r="M90" s="101">
        <f t="shared" si="93"/>
        <v>385.55785065759341</v>
      </c>
      <c r="N90" s="101">
        <f t="shared" si="93"/>
        <v>390.76081038398553</v>
      </c>
      <c r="O90" s="101">
        <f t="shared" si="93"/>
        <v>372.18821778444766</v>
      </c>
      <c r="P90" s="101">
        <f t="shared" si="93"/>
        <v>354.01243923190924</v>
      </c>
      <c r="Q90" s="101">
        <f t="shared" si="93"/>
        <v>336.25883841940231</v>
      </c>
      <c r="R90" s="101">
        <f t="shared" si="93"/>
        <v>318.94729949005705</v>
      </c>
      <c r="S90" s="101">
        <f t="shared" si="93"/>
        <v>302.09231481804602</v>
      </c>
      <c r="T90" s="101">
        <f t="shared" si="93"/>
        <v>285.7031244474187</v>
      </c>
      <c r="U90" s="101">
        <f t="shared" si="93"/>
        <v>269.78390574362857</v>
      </c>
      <c r="V90" s="101">
        <f t="shared" si="93"/>
        <v>254.33401122704527</v>
      </c>
      <c r="W90" s="101">
        <f t="shared" si="93"/>
        <v>239.3482519808953</v>
      </c>
      <c r="X90" s="101">
        <f t="shared" si="93"/>
        <v>224.81722346612952</v>
      </c>
      <c r="Y90" s="101">
        <f t="shared" si="93"/>
        <v>210.72767004159107</v>
      </c>
      <c r="Z90" s="101">
        <f t="shared" si="93"/>
        <v>197.06288398768231</v>
      </c>
      <c r="AA90" s="101">
        <f t="shared" si="93"/>
        <v>183.80313437458244</v>
      </c>
    </row>
    <row r="91" spans="3:27" outlineLevel="1" x14ac:dyDescent="0.45">
      <c r="C91" s="136" t="s">
        <v>90</v>
      </c>
      <c r="D91" s="25" t="s">
        <v>18</v>
      </c>
      <c r="E91" s="138">
        <f t="shared" ref="E91:G91" si="94">E90/E77</f>
        <v>0.19312602291325698</v>
      </c>
      <c r="F91" s="138">
        <f t="shared" si="94"/>
        <v>0.11937210132001426</v>
      </c>
      <c r="G91" s="138">
        <f t="shared" si="94"/>
        <v>0.11186676662739638</v>
      </c>
      <c r="H91" s="138">
        <f>H90/H77</f>
        <v>8.8715231235469066E-2</v>
      </c>
      <c r="I91" s="138">
        <v>0.2</v>
      </c>
      <c r="J91" s="138">
        <v>0.15</v>
      </c>
      <c r="K91" s="138">
        <v>0.1</v>
      </c>
      <c r="L91" s="138">
        <v>0.1</v>
      </c>
      <c r="M91" s="138">
        <v>0.1</v>
      </c>
      <c r="N91" s="138">
        <v>0.1</v>
      </c>
      <c r="O91" s="138">
        <v>0.1</v>
      </c>
      <c r="P91" s="138">
        <v>0.1</v>
      </c>
      <c r="Q91" s="138">
        <v>0.1</v>
      </c>
      <c r="R91" s="138">
        <v>0.1</v>
      </c>
      <c r="S91" s="138">
        <v>0.1</v>
      </c>
      <c r="T91" s="138">
        <v>0.1</v>
      </c>
      <c r="U91" s="138">
        <v>0.1</v>
      </c>
      <c r="V91" s="138">
        <v>0.1</v>
      </c>
      <c r="W91" s="138">
        <v>0.1</v>
      </c>
      <c r="X91" s="138">
        <v>0.1</v>
      </c>
      <c r="Y91" s="138">
        <v>0.1</v>
      </c>
      <c r="Z91" s="138">
        <v>0.1</v>
      </c>
      <c r="AA91" s="138">
        <v>0.1</v>
      </c>
    </row>
    <row r="92" spans="3:27" outlineLevel="1" x14ac:dyDescent="0.45">
      <c r="C92" s="14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</row>
    <row r="93" spans="3:27" outlineLevel="1" x14ac:dyDescent="0.45">
      <c r="C93" s="14" t="s">
        <v>22</v>
      </c>
      <c r="D93" s="26" t="s">
        <v>20</v>
      </c>
      <c r="E93" s="101">
        <f t="shared" ref="E93:G93" si="95">E64</f>
        <v>-2455</v>
      </c>
      <c r="F93" s="101">
        <f t="shared" si="95"/>
        <v>-3498</v>
      </c>
      <c r="G93" s="101">
        <f t="shared" si="95"/>
        <v>-4178</v>
      </c>
      <c r="H93" s="101">
        <f>H64</f>
        <v>-4628.7190162885518</v>
      </c>
      <c r="I93" s="101">
        <f t="shared" ref="I93:AA93" si="96">I64</f>
        <v>-4859.5633637170649</v>
      </c>
      <c r="J93" s="101">
        <f t="shared" si="96"/>
        <v>-5181.6495997577122</v>
      </c>
      <c r="K93" s="101">
        <f t="shared" si="96"/>
        <v>-5743.9315011998742</v>
      </c>
      <c r="L93" s="101">
        <f t="shared" si="96"/>
        <v>-6571.2378273831973</v>
      </c>
      <c r="M93" s="101">
        <f t="shared" si="96"/>
        <v>-7339.5575254773184</v>
      </c>
      <c r="N93" s="101">
        <f t="shared" si="96"/>
        <v>-8049.635166872351</v>
      </c>
      <c r="O93" s="101">
        <f t="shared" si="96"/>
        <v>-8702.363969807273</v>
      </c>
      <c r="P93" s="101">
        <f t="shared" si="96"/>
        <v>-9298.7771154525944</v>
      </c>
      <c r="Q93" s="101">
        <f t="shared" si="96"/>
        <v>-9840.0387296530989</v>
      </c>
      <c r="R93" s="101">
        <f t="shared" si="96"/>
        <v>-10327.434589046146</v>
      </c>
      <c r="S93" s="101">
        <f t="shared" si="96"/>
        <v>-10762.362609997992</v>
      </c>
      <c r="T93" s="101">
        <f t="shared" si="96"/>
        <v>-11146.323178141345</v>
      </c>
      <c r="U93" s="101">
        <f t="shared" si="96"/>
        <v>-11480.909375268791</v>
      </c>
      <c r="V93" s="101">
        <f t="shared" si="96"/>
        <v>-11767.797158959085</v>
      </c>
      <c r="W93" s="101">
        <f t="shared" si="96"/>
        <v>-12008.73554860836</v>
      </c>
      <c r="X93" s="101">
        <f t="shared" si="96"/>
        <v>-12205.536869530364</v>
      </c>
      <c r="Y93" s="101">
        <f t="shared" si="96"/>
        <v>-12360.06710450436</v>
      </c>
      <c r="Z93" s="101">
        <f t="shared" si="96"/>
        <v>-12474.236399613783</v>
      </c>
      <c r="AA93" s="101">
        <f t="shared" si="96"/>
        <v>-12549.989768461102</v>
      </c>
    </row>
    <row r="94" spans="3:27" outlineLevel="1" x14ac:dyDescent="0.45">
      <c r="C94" s="136" t="s">
        <v>90</v>
      </c>
      <c r="D94" s="25" t="s">
        <v>18</v>
      </c>
      <c r="E94" s="138">
        <f t="shared" ref="E94:AA94" si="97">-E93/E$77</f>
        <v>0.63453088653398815</v>
      </c>
      <c r="F94" s="138">
        <f t="shared" si="97"/>
        <v>0.46032372680615868</v>
      </c>
      <c r="G94" s="138">
        <f t="shared" si="97"/>
        <v>0.36690963379292174</v>
      </c>
      <c r="H94" s="138">
        <f t="shared" si="97"/>
        <v>0.28628489418708869</v>
      </c>
      <c r="I94" s="138">
        <f t="shared" si="97"/>
        <v>0.23223396876471969</v>
      </c>
      <c r="J94" s="138">
        <f t="shared" si="97"/>
        <v>0.20538925153865037</v>
      </c>
      <c r="K94" s="138">
        <f t="shared" si="97"/>
        <v>0.19637129028195854</v>
      </c>
      <c r="L94" s="138">
        <f t="shared" si="97"/>
        <v>0.19833729279412488</v>
      </c>
      <c r="M94" s="138">
        <f t="shared" si="97"/>
        <v>0.19843502103794539</v>
      </c>
      <c r="N94" s="138">
        <f t="shared" si="97"/>
        <v>0.19683754096361886</v>
      </c>
      <c r="O94" s="138">
        <f t="shared" si="97"/>
        <v>0.1950472396945645</v>
      </c>
      <c r="P94" s="138">
        <f t="shared" si="97"/>
        <v>0.19309365682158353</v>
      </c>
      <c r="Q94" s="138">
        <f t="shared" si="97"/>
        <v>0.19099672151663422</v>
      </c>
      <c r="R94" s="138">
        <f t="shared" si="97"/>
        <v>0.18877070234859086</v>
      </c>
      <c r="S94" s="138">
        <f t="shared" si="97"/>
        <v>0.18642644089126584</v>
      </c>
      <c r="T94" s="138">
        <f t="shared" si="97"/>
        <v>0.18397268029718677</v>
      </c>
      <c r="U94" s="138">
        <f t="shared" si="97"/>
        <v>0.18141688812103865</v>
      </c>
      <c r="V94" s="138">
        <f t="shared" si="97"/>
        <v>0.17876578195796944</v>
      </c>
      <c r="W94" s="138">
        <f t="shared" si="97"/>
        <v>0.17602567242547817</v>
      </c>
      <c r="X94" s="138">
        <f t="shared" si="97"/>
        <v>0.17320268914908046</v>
      </c>
      <c r="Y94" s="138">
        <f t="shared" si="97"/>
        <v>0.17030292886504339</v>
      </c>
      <c r="Z94" s="138">
        <f t="shared" si="97"/>
        <v>0.16733254978203388</v>
      </c>
      <c r="AA94" s="138">
        <f t="shared" si="97"/>
        <v>0.1642978276296608</v>
      </c>
    </row>
    <row r="95" spans="3:27" outlineLevel="1" x14ac:dyDescent="0.45">
      <c r="C95" s="17"/>
      <c r="E95" s="30"/>
      <c r="F95" s="30"/>
      <c r="G95" s="30"/>
      <c r="H95" s="30"/>
      <c r="I95" s="30"/>
      <c r="J95" s="30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</row>
    <row r="96" spans="3:27" outlineLevel="1" x14ac:dyDescent="0.45">
      <c r="C96" s="31" t="s">
        <v>4</v>
      </c>
      <c r="D96" s="32" t="s">
        <v>20</v>
      </c>
      <c r="E96" s="123">
        <f t="shared" ref="E96:G96" si="98">E85+E87+E90+E93</f>
        <v>-472.04541734860868</v>
      </c>
      <c r="F96" s="123">
        <f t="shared" si="98"/>
        <v>450.85859793078816</v>
      </c>
      <c r="G96" s="123">
        <f t="shared" si="98"/>
        <v>2789.0768715861623</v>
      </c>
      <c r="H96" s="123">
        <f t="shared" ref="H96:AA96" si="99">H85+H87+H90+H93</f>
        <v>4402.7189012884164</v>
      </c>
      <c r="I96" s="123">
        <f t="shared" si="99"/>
        <v>5610.4993673141798</v>
      </c>
      <c r="J96" s="123">
        <f t="shared" si="99"/>
        <v>6952.0985848074915</v>
      </c>
      <c r="K96" s="123">
        <f t="shared" si="99"/>
        <v>8288.6639644126481</v>
      </c>
      <c r="L96" s="123">
        <f t="shared" si="99"/>
        <v>9605.9301263668931</v>
      </c>
      <c r="M96" s="123">
        <f t="shared" si="99"/>
        <v>10979.607336259349</v>
      </c>
      <c r="N96" s="123">
        <f t="shared" si="99"/>
        <v>12469.572317721035</v>
      </c>
      <c r="O96" s="123">
        <f t="shared" si="99"/>
        <v>13952.809766454473</v>
      </c>
      <c r="P96" s="123">
        <f t="shared" si="99"/>
        <v>15450.024548663197</v>
      </c>
      <c r="Q96" s="123">
        <f t="shared" si="99"/>
        <v>16957.951711588175</v>
      </c>
      <c r="R96" s="123">
        <f t="shared" si="99"/>
        <v>18473.489832043873</v>
      </c>
      <c r="S96" s="123">
        <f t="shared" si="99"/>
        <v>19993.690681162207</v>
      </c>
      <c r="T96" s="123">
        <f t="shared" si="99"/>
        <v>21515.746940120425</v>
      </c>
      <c r="U96" s="123">
        <f t="shared" si="99"/>
        <v>23036.978241381003</v>
      </c>
      <c r="V96" s="123">
        <f t="shared" si="99"/>
        <v>24554.815834055928</v>
      </c>
      <c r="W96" s="123">
        <f t="shared" si="99"/>
        <v>26066.78619211138</v>
      </c>
      <c r="X96" s="123">
        <f t="shared" si="99"/>
        <v>27570.493899853805</v>
      </c>
      <c r="Y96" s="123">
        <f t="shared" si="99"/>
        <v>29063.604160141007</v>
      </c>
      <c r="Z96" s="123">
        <f t="shared" si="99"/>
        <v>30543.82527676129</v>
      </c>
      <c r="AA96" s="123">
        <f t="shared" si="99"/>
        <v>32008.891463213466</v>
      </c>
    </row>
    <row r="97" spans="3:27" outlineLevel="1" x14ac:dyDescent="0.45">
      <c r="C97" s="27" t="s">
        <v>13</v>
      </c>
      <c r="D97" s="25" t="s">
        <v>18</v>
      </c>
      <c r="E97" s="28" t="str">
        <f>IFERROR(E96/D96-1,"N/A")</f>
        <v>N/A</v>
      </c>
      <c r="F97" s="28">
        <f>IFERROR(F96/E96-1,"N/A")</f>
        <v>-1.9551169895116809</v>
      </c>
      <c r="G97" s="28">
        <f>IFERROR(G96/F96-1,"N/A")</f>
        <v>5.1861454664203093</v>
      </c>
      <c r="H97" s="28">
        <f>IFERROR(H96/G96-1,"N/A")</f>
        <v>0.57855774652226333</v>
      </c>
      <c r="I97" s="28">
        <f t="shared" ref="I97:AA97" si="100">IFERROR(I96/H96-1,"N/A")</f>
        <v>0.27432604558794726</v>
      </c>
      <c r="J97" s="28">
        <f t="shared" si="100"/>
        <v>0.23912296030354119</v>
      </c>
      <c r="K97" s="28">
        <f t="shared" si="100"/>
        <v>0.1922535135686898</v>
      </c>
      <c r="L97" s="28">
        <f t="shared" si="100"/>
        <v>0.15892382265826233</v>
      </c>
      <c r="M97" s="28">
        <f t="shared" si="100"/>
        <v>0.14300303997859709</v>
      </c>
      <c r="N97" s="28">
        <f t="shared" si="100"/>
        <v>0.13570293871450079</v>
      </c>
      <c r="O97" s="28">
        <f t="shared" si="100"/>
        <v>0.11894854217458173</v>
      </c>
      <c r="P97" s="28">
        <f t="shared" si="100"/>
        <v>0.1073056113621178</v>
      </c>
      <c r="Q97" s="28">
        <f t="shared" si="100"/>
        <v>9.760030854161017E-2</v>
      </c>
      <c r="R97" s="28">
        <f t="shared" si="100"/>
        <v>8.9370352400523601E-2</v>
      </c>
      <c r="S97" s="28">
        <f t="shared" si="100"/>
        <v>8.2290940311743999E-2</v>
      </c>
      <c r="T97" s="28">
        <f t="shared" si="100"/>
        <v>7.6126828369525557E-2</v>
      </c>
      <c r="U97" s="28">
        <f t="shared" si="100"/>
        <v>7.0703160131704967E-2</v>
      </c>
      <c r="V97" s="28">
        <f t="shared" si="100"/>
        <v>6.5887008997927321E-2</v>
      </c>
      <c r="W97" s="28">
        <f t="shared" si="100"/>
        <v>6.1575308414997254E-2</v>
      </c>
      <c r="X97" s="28">
        <f t="shared" si="100"/>
        <v>5.7686731945401526E-2</v>
      </c>
      <c r="Y97" s="28">
        <f t="shared" si="100"/>
        <v>5.4156094037006719E-2</v>
      </c>
      <c r="Z97" s="28">
        <f t="shared" si="100"/>
        <v>5.0930404517768535E-2</v>
      </c>
      <c r="AA97" s="28">
        <f t="shared" si="100"/>
        <v>4.7966034809884928E-2</v>
      </c>
    </row>
    <row r="98" spans="3:27" outlineLevel="1" x14ac:dyDescent="0.45">
      <c r="C98" s="27" t="s">
        <v>97</v>
      </c>
      <c r="D98" s="25" t="s">
        <v>18</v>
      </c>
      <c r="E98" s="28">
        <f>E96/E77</f>
        <v>-0.12200708641731937</v>
      </c>
      <c r="F98" s="28">
        <f t="shared" ref="F98:AA98" si="101">F96/F77</f>
        <v>5.9331306478587732E-2</v>
      </c>
      <c r="G98" s="28">
        <f t="shared" si="101"/>
        <v>0.24493517797366843</v>
      </c>
      <c r="H98" s="28">
        <f t="shared" si="101"/>
        <v>0.27230685430577345</v>
      </c>
      <c r="I98" s="28">
        <f t="shared" si="101"/>
        <v>0.26812049505342794</v>
      </c>
      <c r="J98" s="28">
        <f t="shared" si="101"/>
        <v>0.27556597517193898</v>
      </c>
      <c r="K98" s="28">
        <f t="shared" si="101"/>
        <v>0.28336961140035832</v>
      </c>
      <c r="L98" s="28">
        <f t="shared" si="101"/>
        <v>0.28993231200579317</v>
      </c>
      <c r="M98" s="28">
        <f t="shared" si="101"/>
        <v>0.29684876849811354</v>
      </c>
      <c r="N98" s="28">
        <f t="shared" si="101"/>
        <v>0.30491816101050689</v>
      </c>
      <c r="O98" s="28">
        <f t="shared" si="101"/>
        <v>0.31272617881444192</v>
      </c>
      <c r="P98" s="28">
        <f t="shared" si="101"/>
        <v>0.32082731966195832</v>
      </c>
      <c r="Q98" s="28">
        <f t="shared" si="101"/>
        <v>0.32915654801136357</v>
      </c>
      <c r="R98" s="28">
        <f t="shared" si="101"/>
        <v>0.33766891674368482</v>
      </c>
      <c r="S98" s="28">
        <f t="shared" si="101"/>
        <v>0.34633218829732726</v>
      </c>
      <c r="T98" s="28">
        <f t="shared" si="101"/>
        <v>0.35512245337838838</v>
      </c>
      <c r="U98" s="28">
        <f t="shared" si="101"/>
        <v>0.36402141743807409</v>
      </c>
      <c r="V98" s="28">
        <f t="shared" si="101"/>
        <v>0.37301465976298442</v>
      </c>
      <c r="W98" s="28">
        <f t="shared" si="101"/>
        <v>0.38209048312079019</v>
      </c>
      <c r="X98" s="28">
        <f t="shared" si="101"/>
        <v>0.39123913480151057</v>
      </c>
      <c r="Y98" s="28">
        <f t="shared" si="101"/>
        <v>0.40045226858375971</v>
      </c>
      <c r="Z98" s="28">
        <f t="shared" si="101"/>
        <v>0.40972256737219165</v>
      </c>
      <c r="AA98" s="28">
        <f t="shared" si="101"/>
        <v>0.41904347567324213</v>
      </c>
    </row>
    <row r="99" spans="3:27" outlineLevel="1" x14ac:dyDescent="0.45">
      <c r="I99" s="118"/>
      <c r="J99" s="118"/>
      <c r="K99" s="118"/>
      <c r="L99" s="118"/>
      <c r="M99" s="118"/>
      <c r="N99" s="118"/>
      <c r="O99" s="118"/>
      <c r="P99" s="118"/>
      <c r="Q99" s="118"/>
      <c r="R99" s="118"/>
      <c r="S99" s="118"/>
      <c r="T99" s="118"/>
      <c r="U99" s="118"/>
      <c r="V99" s="118"/>
      <c r="W99" s="118"/>
      <c r="X99" s="118"/>
      <c r="Y99" s="118"/>
      <c r="Z99" s="118"/>
      <c r="AA99" s="118"/>
    </row>
    <row r="100" spans="3:27" outlineLevel="1" x14ac:dyDescent="0.45">
      <c r="C100" s="5" t="s">
        <v>50</v>
      </c>
      <c r="D100" s="25" t="s">
        <v>56</v>
      </c>
      <c r="H100" s="74">
        <v>1</v>
      </c>
      <c r="I100" s="13">
        <f t="shared" ref="I100:AA100" si="102">H100+1</f>
        <v>2</v>
      </c>
      <c r="J100" s="13">
        <f t="shared" si="102"/>
        <v>3</v>
      </c>
      <c r="K100" s="13">
        <f t="shared" si="102"/>
        <v>4</v>
      </c>
      <c r="L100" s="13">
        <f t="shared" si="102"/>
        <v>5</v>
      </c>
      <c r="M100" s="13">
        <f t="shared" si="102"/>
        <v>6</v>
      </c>
      <c r="N100" s="13">
        <f t="shared" si="102"/>
        <v>7</v>
      </c>
      <c r="O100" s="13">
        <f t="shared" si="102"/>
        <v>8</v>
      </c>
      <c r="P100" s="13">
        <f t="shared" si="102"/>
        <v>9</v>
      </c>
      <c r="Q100" s="13">
        <f t="shared" si="102"/>
        <v>10</v>
      </c>
      <c r="R100" s="13">
        <f t="shared" si="102"/>
        <v>11</v>
      </c>
      <c r="S100" s="13">
        <f t="shared" si="102"/>
        <v>12</v>
      </c>
      <c r="T100" s="13">
        <f t="shared" si="102"/>
        <v>13</v>
      </c>
      <c r="U100" s="13">
        <f t="shared" si="102"/>
        <v>14</v>
      </c>
      <c r="V100" s="13">
        <f t="shared" si="102"/>
        <v>15</v>
      </c>
      <c r="W100" s="13">
        <f t="shared" si="102"/>
        <v>16</v>
      </c>
      <c r="X100" s="13">
        <f t="shared" si="102"/>
        <v>17</v>
      </c>
      <c r="Y100" s="13">
        <f t="shared" si="102"/>
        <v>18</v>
      </c>
      <c r="Z100" s="13">
        <f t="shared" si="102"/>
        <v>19</v>
      </c>
      <c r="AA100" s="13">
        <f t="shared" si="102"/>
        <v>20</v>
      </c>
    </row>
    <row r="101" spans="3:27" outlineLevel="1" x14ac:dyDescent="0.45">
      <c r="C101" s="5" t="s">
        <v>2</v>
      </c>
      <c r="D101" s="25" t="s">
        <v>18</v>
      </c>
      <c r="H101" s="75">
        <f>$E$12</f>
        <v>9.7578885639558646E-2</v>
      </c>
      <c r="I101" s="76">
        <f t="shared" ref="I101:Z101" si="103">H101-($H101-$AA101)/($AA$100-1)</f>
        <v>9.637042027076699E-2</v>
      </c>
      <c r="J101" s="76">
        <f t="shared" si="103"/>
        <v>9.5161954901975335E-2</v>
      </c>
      <c r="K101" s="76">
        <f t="shared" si="103"/>
        <v>9.3953489533183679E-2</v>
      </c>
      <c r="L101" s="76">
        <f t="shared" si="103"/>
        <v>9.2745024164392023E-2</v>
      </c>
      <c r="M101" s="76">
        <f t="shared" si="103"/>
        <v>9.1536558795600367E-2</v>
      </c>
      <c r="N101" s="76">
        <f t="shared" si="103"/>
        <v>9.0328093426808712E-2</v>
      </c>
      <c r="O101" s="76">
        <f t="shared" si="103"/>
        <v>8.9119628058017056E-2</v>
      </c>
      <c r="P101" s="76">
        <f t="shared" si="103"/>
        <v>8.79111626892254E-2</v>
      </c>
      <c r="Q101" s="76">
        <f t="shared" si="103"/>
        <v>8.6702697320433744E-2</v>
      </c>
      <c r="R101" s="76">
        <f t="shared" si="103"/>
        <v>8.5494231951642088E-2</v>
      </c>
      <c r="S101" s="76">
        <f t="shared" si="103"/>
        <v>8.4285766582850433E-2</v>
      </c>
      <c r="T101" s="76">
        <f t="shared" si="103"/>
        <v>8.3077301214058777E-2</v>
      </c>
      <c r="U101" s="76">
        <f t="shared" si="103"/>
        <v>8.1868835845267121E-2</v>
      </c>
      <c r="V101" s="76">
        <f t="shared" si="103"/>
        <v>8.0660370476475465E-2</v>
      </c>
      <c r="W101" s="76">
        <f t="shared" si="103"/>
        <v>7.945190510768381E-2</v>
      </c>
      <c r="X101" s="76">
        <f t="shared" si="103"/>
        <v>7.8243439738892154E-2</v>
      </c>
      <c r="Y101" s="76">
        <f t="shared" si="103"/>
        <v>7.7034974370100498E-2</v>
      </c>
      <c r="Z101" s="76">
        <f t="shared" si="103"/>
        <v>7.5826509001308842E-2</v>
      </c>
      <c r="AA101" s="76">
        <f>$E$14</f>
        <v>7.4618043632517186E-2</v>
      </c>
    </row>
    <row r="102" spans="3:27" outlineLevel="1" x14ac:dyDescent="0.45">
      <c r="C102" s="5" t="s">
        <v>51</v>
      </c>
      <c r="D102" s="25" t="s">
        <v>56</v>
      </c>
      <c r="H102" s="77">
        <f>1/((1+H101)^H100)</f>
        <v>0.91109624381786503</v>
      </c>
      <c r="I102" s="77">
        <f t="shared" ref="I102:AA102" si="104">H102/(1+I101)</f>
        <v>0.83101133245901937</v>
      </c>
      <c r="J102" s="77">
        <f t="shared" si="104"/>
        <v>0.758802228966583</v>
      </c>
      <c r="K102" s="77">
        <f t="shared" si="104"/>
        <v>0.69363298917797889</v>
      </c>
      <c r="L102" s="77">
        <f t="shared" si="104"/>
        <v>0.63476197451312211</v>
      </c>
      <c r="M102" s="77">
        <f t="shared" si="104"/>
        <v>0.5815306591411995</v>
      </c>
      <c r="N102" s="77">
        <f t="shared" si="104"/>
        <v>0.53335382500646933</v>
      </c>
      <c r="O102" s="77">
        <f t="shared" si="104"/>
        <v>0.4897109658720224</v>
      </c>
      <c r="P102" s="77">
        <f t="shared" si="104"/>
        <v>0.4501387453930501</v>
      </c>
      <c r="Q102" s="77">
        <f t="shared" si="104"/>
        <v>0.4142243748018587</v>
      </c>
      <c r="R102" s="77">
        <f t="shared" si="104"/>
        <v>0.38159979354023144</v>
      </c>
      <c r="S102" s="77">
        <f t="shared" si="104"/>
        <v>0.35193655150786612</v>
      </c>
      <c r="T102" s="77">
        <f t="shared" si="104"/>
        <v>0.32494130484811035</v>
      </c>
      <c r="U102" s="77">
        <f t="shared" si="104"/>
        <v>0.30035184865477044</v>
      </c>
      <c r="V102" s="77">
        <f t="shared" si="104"/>
        <v>0.27793361990533799</v>
      </c>
      <c r="W102" s="77">
        <f t="shared" si="104"/>
        <v>0.25747661251995468</v>
      </c>
      <c r="X102" s="77">
        <f t="shared" si="104"/>
        <v>0.23879265389484336</v>
      </c>
      <c r="Y102" s="77">
        <f t="shared" si="104"/>
        <v>0.22171299872086353</v>
      </c>
      <c r="Z102" s="77">
        <f t="shared" si="104"/>
        <v>0.20608620150723</v>
      </c>
      <c r="AA102" s="77">
        <f t="shared" si="104"/>
        <v>0.19177623410323497</v>
      </c>
    </row>
    <row r="103" spans="3:27" outlineLevel="1" x14ac:dyDescent="0.45">
      <c r="H103" s="20"/>
      <c r="I103" s="13"/>
      <c r="J103" s="13"/>
      <c r="K103" s="13"/>
      <c r="L103" s="13"/>
      <c r="M103" s="13"/>
      <c r="N103" s="13"/>
      <c r="O103" s="13"/>
      <c r="P103" s="13"/>
      <c r="Q103" s="13"/>
    </row>
    <row r="104" spans="3:27" outlineLevel="1" x14ac:dyDescent="0.45">
      <c r="C104" s="17" t="s">
        <v>54</v>
      </c>
      <c r="D104" s="26" t="s">
        <v>20</v>
      </c>
      <c r="H104" s="102">
        <f t="shared" ref="H104:AA104" si="105">H96*H102</f>
        <v>4011.3006535497939</v>
      </c>
      <c r="I104" s="102">
        <f t="shared" si="105"/>
        <v>4662.3885549922416</v>
      </c>
      <c r="J104" s="102">
        <f t="shared" si="105"/>
        <v>5275.2679021473523</v>
      </c>
      <c r="K104" s="102">
        <f t="shared" si="105"/>
        <v>5749.2907619273419</v>
      </c>
      <c r="L104" s="102">
        <f t="shared" si="105"/>
        <v>6097.479174047734</v>
      </c>
      <c r="M104" s="102">
        <f t="shared" si="105"/>
        <v>6384.9782913664485</v>
      </c>
      <c r="N104" s="102">
        <f t="shared" si="105"/>
        <v>6650.6940918512992</v>
      </c>
      <c r="O104" s="102">
        <f t="shared" si="105"/>
        <v>6832.843947359007</v>
      </c>
      <c r="P104" s="102">
        <f t="shared" si="105"/>
        <v>6954.6546666270769</v>
      </c>
      <c r="Q104" s="102">
        <f t="shared" si="105"/>
        <v>7024.3969456527211</v>
      </c>
      <c r="R104" s="102">
        <f t="shared" si="105"/>
        <v>7049.479905875507</v>
      </c>
      <c r="S104" s="102">
        <f t="shared" si="105"/>
        <v>7036.5105502431861</v>
      </c>
      <c r="T104" s="102">
        <f t="shared" si="105"/>
        <v>6991.3548855044683</v>
      </c>
      <c r="U104" s="102">
        <f t="shared" si="105"/>
        <v>6919.1990022185064</v>
      </c>
      <c r="V104" s="102">
        <f t="shared" si="105"/>
        <v>6824.608850868075</v>
      </c>
      <c r="W104" s="102">
        <f t="shared" si="105"/>
        <v>6711.5878080267667</v>
      </c>
      <c r="X104" s="102">
        <f t="shared" si="105"/>
        <v>6583.6314075376795</v>
      </c>
      <c r="Y104" s="102">
        <f t="shared" si="105"/>
        <v>6443.778831981027</v>
      </c>
      <c r="Z104" s="102">
        <f t="shared" si="105"/>
        <v>6294.6609307882527</v>
      </c>
      <c r="AA104" s="102">
        <f t="shared" si="105"/>
        <v>6138.5446626342646</v>
      </c>
    </row>
    <row r="105" spans="3:27" outlineLevel="1" x14ac:dyDescent="0.45">
      <c r="G105" s="37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  <c r="AA105" s="33"/>
    </row>
    <row r="106" spans="3:27" outlineLevel="1" x14ac:dyDescent="0.45">
      <c r="C106" s="34" t="s">
        <v>10</v>
      </c>
      <c r="D106" s="35" t="s">
        <v>20</v>
      </c>
      <c r="E106" s="103">
        <f t="shared" ref="E106:AA106" si="106">E80+E87</f>
        <v>1353</v>
      </c>
      <c r="F106" s="103">
        <f t="shared" si="106"/>
        <v>3553</v>
      </c>
      <c r="G106" s="103">
        <f t="shared" si="106"/>
        <v>6799</v>
      </c>
      <c r="H106" s="103">
        <f t="shared" si="106"/>
        <v>9251.9863454120405</v>
      </c>
      <c r="I106" s="103">
        <f t="shared" si="106"/>
        <v>11770.332986209847</v>
      </c>
      <c r="J106" s="103">
        <f t="shared" si="106"/>
        <v>14335.445670844023</v>
      </c>
      <c r="K106" s="103">
        <f t="shared" si="106"/>
        <v>17085.025535467914</v>
      </c>
      <c r="L106" s="103">
        <f t="shared" si="106"/>
        <v>19806.38231486774</v>
      </c>
      <c r="M106" s="103">
        <f t="shared" si="106"/>
        <v>22520.157307213925</v>
      </c>
      <c r="N106" s="103">
        <f t="shared" si="106"/>
        <v>25312.004760084477</v>
      </c>
      <c r="O106" s="103">
        <f t="shared" si="106"/>
        <v>28060.989085090994</v>
      </c>
      <c r="P106" s="103">
        <f t="shared" si="106"/>
        <v>30763.668669215262</v>
      </c>
      <c r="Q106" s="103">
        <f t="shared" si="106"/>
        <v>33416.987914847887</v>
      </c>
      <c r="R106" s="103">
        <f t="shared" si="106"/>
        <v>36018.25571027644</v>
      </c>
      <c r="S106" s="103">
        <f t="shared" si="106"/>
        <v>38565.120653843536</v>
      </c>
      <c r="T106" s="103">
        <f t="shared" si="106"/>
        <v>41055.543428224155</v>
      </c>
      <c r="U106" s="103">
        <f t="shared" si="106"/>
        <v>43487.766757701072</v>
      </c>
      <c r="V106" s="103">
        <f t="shared" si="106"/>
        <v>45860.283412633929</v>
      </c>
      <c r="W106" s="103">
        <f t="shared" si="106"/>
        <v>48171.802750942246</v>
      </c>
      <c r="X106" s="103">
        <f t="shared" si="106"/>
        <v>50421.216305838367</v>
      </c>
      <c r="Y106" s="103">
        <f t="shared" si="106"/>
        <v>52607.562941815537</v>
      </c>
      <c r="Z106" s="103">
        <f t="shared" si="106"/>
        <v>54729.994106661536</v>
      </c>
      <c r="AA106" s="103">
        <f t="shared" si="106"/>
        <v>56787.739705777385</v>
      </c>
    </row>
    <row r="107" spans="3:27" outlineLevel="1" x14ac:dyDescent="0.45">
      <c r="C107" s="27" t="s">
        <v>13</v>
      </c>
      <c r="D107" s="25" t="s">
        <v>18</v>
      </c>
      <c r="E107" s="28" t="str">
        <f>IFERROR(E106/D106-1,"N/A")</f>
        <v>N/A</v>
      </c>
      <c r="F107" s="28">
        <f>IFERROR(F106/E106-1,"N/A")</f>
        <v>1.6260162601626016</v>
      </c>
      <c r="G107" s="28">
        <f>IFERROR(G106/F106-1,"N/A")</f>
        <v>0.91359414579228826</v>
      </c>
      <c r="H107" s="28">
        <f>IFERROR(H106/G106-1,"N/A")</f>
        <v>0.360786342905139</v>
      </c>
      <c r="I107" s="28">
        <f t="shared" ref="I107:AA107" si="107">IFERROR(I106/H106-1,"N/A")</f>
        <v>0.27219523967916648</v>
      </c>
      <c r="J107" s="28">
        <f t="shared" si="107"/>
        <v>0.21793034127747002</v>
      </c>
      <c r="K107" s="28">
        <f t="shared" si="107"/>
        <v>0.19180288689706315</v>
      </c>
      <c r="L107" s="28">
        <f t="shared" si="107"/>
        <v>0.15928315551828609</v>
      </c>
      <c r="M107" s="28">
        <f t="shared" si="107"/>
        <v>0.13701517769396387</v>
      </c>
      <c r="N107" s="28">
        <f t="shared" si="107"/>
        <v>0.12397104579621354</v>
      </c>
      <c r="O107" s="28">
        <f t="shared" si="107"/>
        <v>0.10860397471722583</v>
      </c>
      <c r="P107" s="28">
        <f t="shared" si="107"/>
        <v>9.6314480431490601E-2</v>
      </c>
      <c r="Q107" s="28">
        <f t="shared" si="107"/>
        <v>8.6248466467452323E-2</v>
      </c>
      <c r="R107" s="28">
        <f t="shared" si="107"/>
        <v>7.7842676965889979E-2</v>
      </c>
      <c r="S107" s="28">
        <f t="shared" si="107"/>
        <v>7.0710390976552517E-2</v>
      </c>
      <c r="T107" s="28">
        <f t="shared" si="107"/>
        <v>6.4577077217893075E-2</v>
      </c>
      <c r="U107" s="28">
        <f t="shared" si="107"/>
        <v>5.924226368429597E-2</v>
      </c>
      <c r="V107" s="28">
        <f t="shared" si="107"/>
        <v>5.4555955198888562E-2</v>
      </c>
      <c r="W107" s="28">
        <f t="shared" si="107"/>
        <v>5.0403511847280091E-2</v>
      </c>
      <c r="X107" s="28">
        <f t="shared" si="107"/>
        <v>4.6695648209929663E-2</v>
      </c>
      <c r="Y107" s="28">
        <f t="shared" si="107"/>
        <v>4.3361640122196121E-2</v>
      </c>
      <c r="Z107" s="28">
        <f t="shared" si="107"/>
        <v>4.0344601539391345E-2</v>
      </c>
      <c r="AA107" s="28">
        <f t="shared" si="107"/>
        <v>3.7598133029314251E-2</v>
      </c>
    </row>
    <row r="108" spans="3:27" x14ac:dyDescent="0.45">
      <c r="C108" s="27" t="s">
        <v>97</v>
      </c>
      <c r="D108" s="25" t="s">
        <v>18</v>
      </c>
      <c r="E108" s="28">
        <f>E106/E77</f>
        <v>0.34970276557249935</v>
      </c>
      <c r="F108" s="28">
        <f>F106/F77</f>
        <v>0.46756152125279643</v>
      </c>
      <c r="G108" s="28">
        <f>G106/G77</f>
        <v>0.597084394484939</v>
      </c>
      <c r="H108" s="28">
        <f>H106/H77</f>
        <v>0.5722326031448085</v>
      </c>
      <c r="I108" s="28">
        <f t="shared" ref="I108:AA108" si="108">I106/I77</f>
        <v>0.56249315802294297</v>
      </c>
      <c r="J108" s="28">
        <f t="shared" si="108"/>
        <v>0.56822569726546424</v>
      </c>
      <c r="K108" s="28">
        <f t="shared" si="108"/>
        <v>0.58409619059684148</v>
      </c>
      <c r="L108" s="28">
        <f t="shared" si="108"/>
        <v>0.59780886821754975</v>
      </c>
      <c r="M108" s="28">
        <f t="shared" si="108"/>
        <v>0.60886339176750481</v>
      </c>
      <c r="N108" s="28">
        <f t="shared" si="108"/>
        <v>0.61895386195127577</v>
      </c>
      <c r="O108" s="28">
        <f t="shared" si="108"/>
        <v>0.6289346760415393</v>
      </c>
      <c r="P108" s="28">
        <f t="shared" si="108"/>
        <v>0.63882263300137454</v>
      </c>
      <c r="Q108" s="28">
        <f t="shared" si="108"/>
        <v>0.64862906641445128</v>
      </c>
      <c r="R108" s="28">
        <f t="shared" si="108"/>
        <v>0.65836209071821472</v>
      </c>
      <c r="S108" s="28">
        <f t="shared" si="108"/>
        <v>0.66802787144147702</v>
      </c>
      <c r="T108" s="28">
        <f t="shared" si="108"/>
        <v>0.67763138075523066</v>
      </c>
      <c r="U108" s="28">
        <f t="shared" si="108"/>
        <v>0.68717686540670675</v>
      </c>
      <c r="V108" s="28">
        <f t="shared" si="108"/>
        <v>0.69666814564628099</v>
      </c>
      <c r="W108" s="28">
        <f t="shared" si="108"/>
        <v>0.70610881027892713</v>
      </c>
      <c r="X108" s="28">
        <f t="shared" si="108"/>
        <v>0.71550234518071587</v>
      </c>
      <c r="Y108" s="28">
        <f t="shared" si="108"/>
        <v>0.724852217523828</v>
      </c>
      <c r="Z108" s="28">
        <f t="shared" si="108"/>
        <v>0.73416192943937708</v>
      </c>
      <c r="AA108" s="28">
        <f t="shared" si="108"/>
        <v>0.74343504989183185</v>
      </c>
    </row>
    <row r="111" spans="3:27" x14ac:dyDescent="0.45">
      <c r="H111" s="37"/>
    </row>
  </sheetData>
  <pageMargins left="0.75" right="0.75" top="1" bottom="1" header="0.5" footer="0.5"/>
  <pageSetup scale="40" orientation="portrait" horizontalDpi="200" verticalDpi="200" r:id="rId1"/>
  <headerFooter alignWithMargins="0"/>
  <rowBreaks count="2" manualBreakCount="2">
    <brk id="27" max="27" man="1"/>
    <brk id="74" max="27" man="1"/>
  </rowBreaks>
  <colBreaks count="1" manualBreakCount="1">
    <brk id="16" max="108" man="1"/>
  </col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4F62E7-3EF3-461D-95C6-F331586B11A2}">
  <sheetPr>
    <pageSetUpPr autoPageBreaks="0"/>
  </sheetPr>
  <dimension ref="B2:AA111"/>
  <sheetViews>
    <sheetView showGridLines="0" zoomScaleNormal="100" workbookViewId="0">
      <pane xSplit="4" topLeftCell="E1" activePane="topRight" state="frozen"/>
      <selection pane="topRight" activeCell="B2" sqref="B2"/>
    </sheetView>
  </sheetViews>
  <sheetFormatPr defaultColWidth="9.15234375" defaultRowHeight="15.9" outlineLevelRow="1" x14ac:dyDescent="0.45"/>
  <cols>
    <col min="1" max="2" width="2.69140625" style="5" customWidth="1"/>
    <col min="3" max="3" width="39.53515625" style="5" bestFit="1" customWidth="1"/>
    <col min="4" max="4" width="14.69140625" style="5" customWidth="1"/>
    <col min="5" max="27" width="12.69140625" style="5" customWidth="1"/>
    <col min="28" max="28" width="2.69140625" style="5" customWidth="1"/>
    <col min="29" max="16384" width="9.15234375" style="5"/>
  </cols>
  <sheetData>
    <row r="2" spans="2:18" ht="18.45" x14ac:dyDescent="0.5">
      <c r="B2" s="85" t="str">
        <f>"Discounted Cash Flow Analysis - "&amp;Div_2&amp;" (Unlevered DCF)"</f>
        <v>Discounted Cash Flow Analysis - AI (Unlevered DCF)</v>
      </c>
    </row>
    <row r="3" spans="2:18" x14ac:dyDescent="0.45">
      <c r="B3" s="116" t="s">
        <v>198</v>
      </c>
    </row>
    <row r="5" spans="2:18" x14ac:dyDescent="0.4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spans="2:18" x14ac:dyDescent="0.45">
      <c r="B6" s="8" t="str">
        <f>Div_2&amp;" - DCF Assumptions &amp; Output:"</f>
        <v>AI - DCF Assumptions &amp; Output:</v>
      </c>
      <c r="C6" s="8"/>
      <c r="D6" s="8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</row>
    <row r="7" spans="2:18" outlineLevel="1" x14ac:dyDescent="0.45"/>
    <row r="8" spans="2:18" outlineLevel="1" x14ac:dyDescent="0.45">
      <c r="C8" s="116" t="s">
        <v>194</v>
      </c>
      <c r="D8" s="26" t="s">
        <v>36</v>
      </c>
      <c r="E8" s="36" t="s">
        <v>234</v>
      </c>
      <c r="G8" s="10" t="s">
        <v>14</v>
      </c>
      <c r="H8" s="87"/>
      <c r="I8" s="87"/>
      <c r="J8" s="87"/>
      <c r="L8" s="10" t="s">
        <v>66</v>
      </c>
      <c r="M8" s="87"/>
      <c r="N8" s="87"/>
      <c r="O8" s="87"/>
    </row>
    <row r="9" spans="2:18" outlineLevel="1" x14ac:dyDescent="0.45">
      <c r="F9" s="214"/>
    </row>
    <row r="10" spans="2:18" outlineLevel="1" x14ac:dyDescent="0.45">
      <c r="C10" s="5" t="s">
        <v>209</v>
      </c>
      <c r="D10" s="25" t="s">
        <v>210</v>
      </c>
      <c r="E10" s="13">
        <f>YEARFRAC($G$29,$AA$29)</f>
        <v>20</v>
      </c>
      <c r="F10" s="77"/>
      <c r="G10" s="17" t="s">
        <v>232</v>
      </c>
    </row>
    <row r="11" spans="2:18" outlineLevel="1" x14ac:dyDescent="0.45">
      <c r="G11" s="14" t="str">
        <f>WACC!$B$44</f>
        <v>GPU-First Neoclouds:</v>
      </c>
      <c r="J11" s="119">
        <f>AI_Comps!W11</f>
        <v>27.01</v>
      </c>
      <c r="L11" s="5" t="s">
        <v>62</v>
      </c>
      <c r="O11" s="89">
        <v>0.03</v>
      </c>
    </row>
    <row r="12" spans="2:18" outlineLevel="1" x14ac:dyDescent="0.45">
      <c r="C12" s="246" t="s">
        <v>52</v>
      </c>
      <c r="D12" s="25" t="s">
        <v>18</v>
      </c>
      <c r="E12" s="245">
        <f>Control!E53</f>
        <v>0.14616674989904763</v>
      </c>
      <c r="G12" s="14" t="str">
        <f>WACC!$B$45</f>
        <v>Infrastructure-First Hosting (No GPUs):</v>
      </c>
      <c r="J12" s="119">
        <f>AI_Comps!W22</f>
        <v>31.4</v>
      </c>
    </row>
    <row r="13" spans="2:18" outlineLevel="1" x14ac:dyDescent="0.45">
      <c r="C13" s="246" t="s">
        <v>231</v>
      </c>
      <c r="D13" s="25" t="s">
        <v>18</v>
      </c>
      <c r="E13" s="245">
        <f>Control!E54</f>
        <v>0.05</v>
      </c>
      <c r="G13" s="14" t="str">
        <f>WACC!$B$46</f>
        <v>Social Media Companies:</v>
      </c>
      <c r="J13" s="119">
        <f>AI_Comps!W32</f>
        <v>8.6300000000000008</v>
      </c>
    </row>
    <row r="14" spans="2:18" outlineLevel="1" x14ac:dyDescent="0.45">
      <c r="C14" s="246" t="s">
        <v>53</v>
      </c>
      <c r="D14" s="25" t="s">
        <v>18</v>
      </c>
      <c r="E14" s="245">
        <f>Control!E55</f>
        <v>9.6166749899047624E-2</v>
      </c>
    </row>
    <row r="15" spans="2:18" outlineLevel="1" x14ac:dyDescent="0.45">
      <c r="G15" s="17" t="s">
        <v>5</v>
      </c>
      <c r="L15" s="17" t="s">
        <v>7</v>
      </c>
      <c r="Q15" s="86"/>
      <c r="R15" s="86"/>
    </row>
    <row r="16" spans="2:18" outlineLevel="1" x14ac:dyDescent="0.45">
      <c r="G16" s="14" t="str">
        <f>Control!$C$26</f>
        <v>Elon</v>
      </c>
      <c r="J16" s="88">
        <v>7.3917449776711655</v>
      </c>
      <c r="L16" s="14" t="str">
        <f>Control!$C$26</f>
        <v>Elon</v>
      </c>
      <c r="O16" s="89">
        <v>2.5000000000000001E-2</v>
      </c>
    </row>
    <row r="17" spans="2:27" outlineLevel="1" x14ac:dyDescent="0.45">
      <c r="G17" s="14" t="str">
        <f>Control!$C$27</f>
        <v>Optimistic</v>
      </c>
      <c r="J17" s="88">
        <v>6.8652490173878453</v>
      </c>
      <c r="L17" s="14" t="str">
        <f>Control!$C$27</f>
        <v>Optimistic</v>
      </c>
      <c r="O17" s="89">
        <v>0.02</v>
      </c>
      <c r="Q17" s="11"/>
      <c r="R17" s="78"/>
    </row>
    <row r="18" spans="2:27" outlineLevel="1" x14ac:dyDescent="0.45">
      <c r="G18" s="15" t="str">
        <f>Control!$C$28</f>
        <v>Realistic</v>
      </c>
      <c r="H18" s="16"/>
      <c r="I18" s="16"/>
      <c r="J18" s="96">
        <v>6.4045725368592263</v>
      </c>
      <c r="L18" s="15" t="str">
        <f>Control!$C$28</f>
        <v>Realistic</v>
      </c>
      <c r="M18" s="16"/>
      <c r="N18" s="16"/>
      <c r="O18" s="94">
        <v>1.4999999999999999E-2</v>
      </c>
      <c r="R18" s="90"/>
    </row>
    <row r="19" spans="2:27" outlineLevel="1" x14ac:dyDescent="0.45">
      <c r="G19" s="17" t="s">
        <v>58</v>
      </c>
      <c r="J19" s="97">
        <f>INDEX(J16:J18,MATCH(Scenario,$G16:$G18,0))</f>
        <v>6.8652490173878453</v>
      </c>
      <c r="L19" s="17" t="s">
        <v>57</v>
      </c>
      <c r="O19" s="95">
        <f>_xlfn.XLOOKUP(Scenario,$L16:$L18,O16:O18)</f>
        <v>0.02</v>
      </c>
      <c r="R19" s="79"/>
    </row>
    <row r="20" spans="2:27" outlineLevel="1" x14ac:dyDescent="0.45"/>
    <row r="21" spans="2:27" outlineLevel="1" x14ac:dyDescent="0.45">
      <c r="G21" s="5" t="s">
        <v>6</v>
      </c>
      <c r="J21" s="107">
        <f>AA109*J19</f>
        <v>1054868.1092184007</v>
      </c>
      <c r="L21" s="5" t="s">
        <v>6</v>
      </c>
      <c r="O21" s="104">
        <f>AA99*(1+O19)/(E14-O19)</f>
        <v>1179907.7993794258</v>
      </c>
      <c r="R21" s="91"/>
    </row>
    <row r="22" spans="2:27" outlineLevel="1" x14ac:dyDescent="0.45">
      <c r="G22" s="5" t="s">
        <v>8</v>
      </c>
      <c r="I22" s="11"/>
      <c r="J22" s="109">
        <f>(J21*E14-AA99)/(AA99+J21)</f>
        <v>1.1667480935325169E-2</v>
      </c>
      <c r="L22" s="5" t="s">
        <v>9</v>
      </c>
      <c r="O22" s="108">
        <f>O21/AA109</f>
        <v>7.6790271594235424</v>
      </c>
      <c r="R22" s="91"/>
    </row>
    <row r="23" spans="2:27" outlineLevel="1" x14ac:dyDescent="0.45">
      <c r="R23" s="80"/>
    </row>
    <row r="24" spans="2:27" outlineLevel="1" x14ac:dyDescent="0.45">
      <c r="G24" s="14" t="s">
        <v>15</v>
      </c>
      <c r="J24" s="105">
        <f>J21*$AA105</f>
        <v>107297.51268084653</v>
      </c>
      <c r="L24" s="14" t="str">
        <f>$G$24</f>
        <v>(+) PV of Terminal Value:</v>
      </c>
      <c r="O24" s="105">
        <f>O21*$AA105</f>
        <v>120016.11477282044</v>
      </c>
      <c r="R24" s="18"/>
    </row>
    <row r="25" spans="2:27" outlineLevel="1" x14ac:dyDescent="0.45">
      <c r="G25" s="15" t="s">
        <v>16</v>
      </c>
      <c r="H25" s="16"/>
      <c r="I25" s="16"/>
      <c r="J25" s="106">
        <f>SUM($H$107:$AA$107)</f>
        <v>-10057.645712956088</v>
      </c>
      <c r="L25" s="15" t="str">
        <f>$G$25</f>
        <v>(+) Sum of PV of Free Cash Flows:</v>
      </c>
      <c r="M25" s="16"/>
      <c r="N25" s="16"/>
      <c r="O25" s="106">
        <f>SUM($H$107:$AA$107)</f>
        <v>-10057.645712956088</v>
      </c>
      <c r="R25" s="81"/>
    </row>
    <row r="26" spans="2:27" outlineLevel="1" x14ac:dyDescent="0.45">
      <c r="G26" s="82" t="s">
        <v>12</v>
      </c>
      <c r="H26" s="83"/>
      <c r="I26" s="83"/>
      <c r="J26" s="121">
        <f>SUM(J24:J25)</f>
        <v>97239.866967890441</v>
      </c>
      <c r="L26" s="82" t="str">
        <f>$G$26</f>
        <v>Implied Enterprise Value:</v>
      </c>
      <c r="M26" s="83"/>
      <c r="N26" s="83"/>
      <c r="O26" s="121">
        <f>SUM(O24:O25)</f>
        <v>109958.46905986435</v>
      </c>
    </row>
    <row r="27" spans="2:27" x14ac:dyDescent="0.45">
      <c r="G27" s="13"/>
      <c r="I27" s="20"/>
      <c r="J27" s="13"/>
      <c r="K27" s="13"/>
      <c r="M27" s="13"/>
      <c r="N27" s="13"/>
      <c r="O27" s="13"/>
      <c r="P27" s="13"/>
    </row>
    <row r="28" spans="2:27" x14ac:dyDescent="0.45">
      <c r="B28" s="7"/>
      <c r="C28" s="7"/>
      <c r="D28" s="7"/>
      <c r="E28" s="21" t="str">
        <f>Control!$E$131</f>
        <v>Historical:</v>
      </c>
      <c r="F28" s="21"/>
      <c r="G28" s="22"/>
      <c r="H28" s="21" t="str">
        <f>Control!$H$131</f>
        <v>Projected:</v>
      </c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</row>
    <row r="29" spans="2:27" x14ac:dyDescent="0.45">
      <c r="B29" s="8" t="str">
        <f>Div_2&amp;" Drivers:"</f>
        <v>AI Drivers:</v>
      </c>
      <c r="C29" s="8"/>
      <c r="D29" s="24" t="str">
        <f>Control!$D$132</f>
        <v>Units:</v>
      </c>
      <c r="E29" s="2">
        <f>Control!$E$132</f>
        <v>45291</v>
      </c>
      <c r="F29" s="2">
        <f>Control!$F$132</f>
        <v>45657</v>
      </c>
      <c r="G29" s="3">
        <f>Control!$G$132</f>
        <v>46022</v>
      </c>
      <c r="H29" s="2">
        <f>Control!$H$132</f>
        <v>46387</v>
      </c>
      <c r="I29" s="4">
        <f>Control!$I$132</f>
        <v>46752</v>
      </c>
      <c r="J29" s="4">
        <f>Control!$J$132</f>
        <v>47118</v>
      </c>
      <c r="K29" s="4">
        <f>Control!$K$132</f>
        <v>47483</v>
      </c>
      <c r="L29" s="4">
        <f>Control!$L$132</f>
        <v>47848</v>
      </c>
      <c r="M29" s="4">
        <f>Control!$M$132</f>
        <v>48213</v>
      </c>
      <c r="N29" s="4">
        <f>Control!$N$132</f>
        <v>48579</v>
      </c>
      <c r="O29" s="4">
        <f>Control!$O$132</f>
        <v>48944</v>
      </c>
      <c r="P29" s="4">
        <f>Control!$P$132</f>
        <v>49309</v>
      </c>
      <c r="Q29" s="4">
        <f>Control!$Q$132</f>
        <v>49674</v>
      </c>
      <c r="R29" s="4">
        <f>Control!$R$132</f>
        <v>50040</v>
      </c>
      <c r="S29" s="4">
        <f>Control!$S$132</f>
        <v>50405</v>
      </c>
      <c r="T29" s="4">
        <f>Control!$T$132</f>
        <v>50770</v>
      </c>
      <c r="U29" s="4">
        <f>Control!$U$132</f>
        <v>51135</v>
      </c>
      <c r="V29" s="4">
        <f>Control!$V$132</f>
        <v>51501</v>
      </c>
      <c r="W29" s="4">
        <f>Control!$W$132</f>
        <v>51866</v>
      </c>
      <c r="X29" s="4">
        <f>Control!$X$132</f>
        <v>52231</v>
      </c>
      <c r="Y29" s="4">
        <f>Control!$Y$132</f>
        <v>52596</v>
      </c>
      <c r="Z29" s="4">
        <f>Control!$Z$132</f>
        <v>52962</v>
      </c>
      <c r="AA29" s="4">
        <f>Control!$AA$132</f>
        <v>53327</v>
      </c>
    </row>
    <row r="30" spans="2:27" outlineLevel="1" x14ac:dyDescent="0.45">
      <c r="B30" s="130"/>
      <c r="C30" s="131"/>
      <c r="D30" s="131"/>
      <c r="E30" s="131"/>
      <c r="F30" s="131"/>
      <c r="G30" s="131"/>
      <c r="H30" s="131"/>
      <c r="I30" s="131"/>
      <c r="J30" s="131"/>
      <c r="K30" s="131"/>
      <c r="L30" s="131"/>
      <c r="M30" s="131"/>
      <c r="N30" s="131"/>
      <c r="O30" s="131"/>
      <c r="P30" s="131"/>
      <c r="Q30" s="131"/>
      <c r="R30" s="131"/>
      <c r="S30" s="131"/>
      <c r="T30" s="131"/>
      <c r="U30" s="131"/>
      <c r="V30" s="131"/>
      <c r="W30" s="131"/>
      <c r="X30" s="131"/>
      <c r="Y30" s="131"/>
      <c r="Z30" s="131"/>
      <c r="AA30" s="131"/>
    </row>
    <row r="31" spans="2:27" outlineLevel="1" x14ac:dyDescent="0.45">
      <c r="B31" s="157"/>
      <c r="C31" s="116" t="s">
        <v>244</v>
      </c>
      <c r="D31" s="26" t="s">
        <v>238</v>
      </c>
      <c r="E31" s="254">
        <v>3690</v>
      </c>
      <c r="F31" s="254">
        <v>13500</v>
      </c>
      <c r="G31" s="254">
        <v>31240</v>
      </c>
      <c r="H31" s="98">
        <f>G31*(1+H32)</f>
        <v>56232</v>
      </c>
      <c r="I31" s="98">
        <f t="shared" ref="I31:AA31" si="0">H31*(1+I32)</f>
        <v>92782.799999999988</v>
      </c>
      <c r="J31" s="98">
        <f t="shared" si="0"/>
        <v>139174.19999999998</v>
      </c>
      <c r="K31" s="98">
        <f t="shared" si="0"/>
        <v>187885.16999999998</v>
      </c>
      <c r="L31" s="98">
        <f t="shared" si="0"/>
        <v>225462.20399999997</v>
      </c>
      <c r="M31" s="98">
        <f t="shared" si="0"/>
        <v>236735.31419999996</v>
      </c>
      <c r="N31" s="98">
        <f t="shared" si="0"/>
        <v>241470.02048399998</v>
      </c>
      <c r="O31" s="98">
        <f t="shared" si="0"/>
        <v>246299.42089367998</v>
      </c>
      <c r="P31" s="98">
        <f t="shared" si="0"/>
        <v>251225.40931155358</v>
      </c>
      <c r="Q31" s="98">
        <f t="shared" si="0"/>
        <v>256249.91749778466</v>
      </c>
      <c r="R31" s="98">
        <f t="shared" si="0"/>
        <v>261374.91584774034</v>
      </c>
      <c r="S31" s="98">
        <f t="shared" si="0"/>
        <v>266602.41416469513</v>
      </c>
      <c r="T31" s="98">
        <f t="shared" si="0"/>
        <v>271934.46244798903</v>
      </c>
      <c r="U31" s="98">
        <f t="shared" si="0"/>
        <v>277373.1516969488</v>
      </c>
      <c r="V31" s="98">
        <f t="shared" si="0"/>
        <v>282920.61473088776</v>
      </c>
      <c r="W31" s="98">
        <f t="shared" si="0"/>
        <v>288579.02702550549</v>
      </c>
      <c r="X31" s="98">
        <f t="shared" si="0"/>
        <v>294350.60756601562</v>
      </c>
      <c r="Y31" s="98">
        <f t="shared" si="0"/>
        <v>300237.61971733591</v>
      </c>
      <c r="Z31" s="98">
        <f t="shared" si="0"/>
        <v>306242.37211168261</v>
      </c>
      <c r="AA31" s="98">
        <f t="shared" si="0"/>
        <v>312367.21955391625</v>
      </c>
    </row>
    <row r="32" spans="2:27" outlineLevel="1" x14ac:dyDescent="0.45">
      <c r="B32" s="157"/>
      <c r="C32" s="156" t="s">
        <v>13</v>
      </c>
      <c r="D32" s="25" t="s">
        <v>18</v>
      </c>
      <c r="E32" s="99">
        <v>3.1554054054054053</v>
      </c>
      <c r="F32" s="12">
        <f>IFERROR(F31/E31-1, "N/A")</f>
        <v>2.6585365853658538</v>
      </c>
      <c r="G32" s="12">
        <f>IFERROR(G31/F31-1, "N/A")</f>
        <v>1.3140740740740742</v>
      </c>
      <c r="H32" s="275">
        <f>Control!$E$57</f>
        <v>0.8</v>
      </c>
      <c r="I32" s="218">
        <f>MAX(H32+Control!$E$58,Control!$E$59)</f>
        <v>0.65</v>
      </c>
      <c r="J32" s="218">
        <f>MAX(I32+Control!$E$58,Control!$E$59)</f>
        <v>0.5</v>
      </c>
      <c r="K32" s="218">
        <f>MAX(J32+Control!$E$58,Control!$E$59)</f>
        <v>0.35</v>
      </c>
      <c r="L32" s="218">
        <f>MAX(K32+Control!$E$58,Control!$E$59)</f>
        <v>0.19999999999999998</v>
      </c>
      <c r="M32" s="218">
        <f>MAX(L32+Control!$E$58,Control!$E$59)</f>
        <v>4.9999999999999989E-2</v>
      </c>
      <c r="N32" s="218">
        <f>MAX(M32+Control!$E$58,Control!$E$59)</f>
        <v>0.02</v>
      </c>
      <c r="O32" s="218">
        <f>MAX(N32+Control!$E$58,Control!$E$59)</f>
        <v>0.02</v>
      </c>
      <c r="P32" s="218">
        <f>MAX(O32+Control!$E$58,Control!$E$59)</f>
        <v>0.02</v>
      </c>
      <c r="Q32" s="218">
        <f>MAX(P32+Control!$E$58,Control!$E$59)</f>
        <v>0.02</v>
      </c>
      <c r="R32" s="218">
        <f>MAX(Q32+Control!$E$58,Control!$E$59)</f>
        <v>0.02</v>
      </c>
      <c r="S32" s="218">
        <f>MAX(R32+Control!$E$58,Control!$E$59)</f>
        <v>0.02</v>
      </c>
      <c r="T32" s="218">
        <f>MAX(S32+Control!$E$58,Control!$E$59)</f>
        <v>0.02</v>
      </c>
      <c r="U32" s="218">
        <f>MAX(T32+Control!$E$58,Control!$E$59)</f>
        <v>0.02</v>
      </c>
      <c r="V32" s="218">
        <f>MAX(U32+Control!$E$58,Control!$E$59)</f>
        <v>0.02</v>
      </c>
      <c r="W32" s="218">
        <f>MAX(V32+Control!$E$58,Control!$E$59)</f>
        <v>0.02</v>
      </c>
      <c r="X32" s="218">
        <f>MAX(W32+Control!$E$58,Control!$E$59)</f>
        <v>0.02</v>
      </c>
      <c r="Y32" s="218">
        <f>MAX(X32+Control!$E$58,Control!$E$59)</f>
        <v>0.02</v>
      </c>
      <c r="Z32" s="218">
        <f>MAX(Y32+Control!$E$58,Control!$E$59)</f>
        <v>0.02</v>
      </c>
      <c r="AA32" s="218">
        <f>MAX(Z32+Control!$E$58,Control!$E$59)</f>
        <v>0.02</v>
      </c>
    </row>
    <row r="33" spans="2:27" outlineLevel="1" x14ac:dyDescent="0.45">
      <c r="B33" s="157"/>
      <c r="C33" s="86"/>
      <c r="D33" s="86"/>
      <c r="E33" s="86"/>
      <c r="F33" s="86"/>
      <c r="G33" s="86"/>
      <c r="H33" s="274"/>
      <c r="I33" s="274"/>
      <c r="J33" s="274"/>
      <c r="K33" s="274"/>
      <c r="L33" s="274"/>
      <c r="M33" s="274"/>
      <c r="N33" s="274"/>
      <c r="O33" s="274"/>
      <c r="P33" s="274"/>
      <c r="Q33" s="274"/>
      <c r="R33" s="274"/>
      <c r="S33" s="274"/>
      <c r="T33" s="274"/>
      <c r="U33" s="274"/>
      <c r="V33" s="274"/>
      <c r="W33" s="274"/>
      <c r="X33" s="274"/>
      <c r="Y33" s="274"/>
      <c r="Z33" s="274"/>
      <c r="AA33" s="274"/>
    </row>
    <row r="34" spans="2:27" outlineLevel="1" x14ac:dyDescent="0.45">
      <c r="B34" s="157"/>
      <c r="C34" s="116" t="s">
        <v>235</v>
      </c>
      <c r="D34" s="26" t="s">
        <v>238</v>
      </c>
      <c r="E34" s="254">
        <v>0</v>
      </c>
      <c r="F34" s="254">
        <v>300</v>
      </c>
      <c r="G34" s="254">
        <v>800</v>
      </c>
      <c r="H34" s="98">
        <f>H35*H31</f>
        <v>1686.96</v>
      </c>
      <c r="I34" s="98">
        <f t="shared" ref="I34:AA34" si="1">I35*I31</f>
        <v>2881.1501052631575</v>
      </c>
      <c r="J34" s="98">
        <f t="shared" si="1"/>
        <v>4468.2243157894727</v>
      </c>
      <c r="K34" s="98">
        <f t="shared" si="1"/>
        <v>6229.8766894736827</v>
      </c>
      <c r="L34" s="98">
        <f t="shared" si="1"/>
        <v>7713.1806631578929</v>
      </c>
      <c r="M34" s="98">
        <f t="shared" si="1"/>
        <v>8348.0347638947351</v>
      </c>
      <c r="N34" s="98">
        <f t="shared" si="1"/>
        <v>8769.1744281031552</v>
      </c>
      <c r="O34" s="98">
        <f t="shared" si="1"/>
        <v>9203.8204649743548</v>
      </c>
      <c r="P34" s="98">
        <f t="shared" si="1"/>
        <v>9652.3446735491616</v>
      </c>
      <c r="Q34" s="98">
        <f t="shared" si="1"/>
        <v>10115.128322280971</v>
      </c>
      <c r="R34" s="98">
        <f t="shared" si="1"/>
        <v>10592.562379092633</v>
      </c>
      <c r="S34" s="98">
        <f t="shared" si="1"/>
        <v>11085.047746847848</v>
      </c>
      <c r="T34" s="98">
        <f t="shared" si="1"/>
        <v>11592.995504361634</v>
      </c>
      <c r="U34" s="98">
        <f t="shared" si="1"/>
        <v>12116.827153077233</v>
      </c>
      <c r="V34" s="98">
        <f t="shared" si="1"/>
        <v>12656.974869539712</v>
      </c>
      <c r="W34" s="98">
        <f t="shared" si="1"/>
        <v>13213.881763799458</v>
      </c>
      <c r="X34" s="98">
        <f t="shared" si="1"/>
        <v>13788.00214388178</v>
      </c>
      <c r="Y34" s="98">
        <f t="shared" si="1"/>
        <v>14379.801786461872</v>
      </c>
      <c r="Z34" s="98">
        <f t="shared" si="1"/>
        <v>14989.758213887617</v>
      </c>
      <c r="AA34" s="98">
        <f t="shared" si="1"/>
        <v>15618.360977695807</v>
      </c>
    </row>
    <row r="35" spans="2:27" outlineLevel="1" x14ac:dyDescent="0.45">
      <c r="B35" s="157"/>
      <c r="C35" s="156" t="s">
        <v>245</v>
      </c>
      <c r="D35" s="25" t="s">
        <v>18</v>
      </c>
      <c r="E35" s="12">
        <f>E34/E31</f>
        <v>0</v>
      </c>
      <c r="F35" s="12">
        <f t="shared" ref="F35:G35" si="2">F34/F31</f>
        <v>2.2222222222222223E-2</v>
      </c>
      <c r="G35" s="12">
        <f t="shared" si="2"/>
        <v>2.5608194622279128E-2</v>
      </c>
      <c r="H35" s="275">
        <f>Control!$E$61</f>
        <v>0.03</v>
      </c>
      <c r="I35" s="218">
        <f>(Control!$E$63-Control!$E$61)/($E$10-1)+H35</f>
        <v>3.1052631578947366E-2</v>
      </c>
      <c r="J35" s="218">
        <f>(Control!$E$63-Control!$E$61)/($E$10-1)+I35</f>
        <v>3.2105263157894734E-2</v>
      </c>
      <c r="K35" s="218">
        <f>(Control!$E$63-Control!$E$61)/($E$10-1)+J35</f>
        <v>3.3157894736842101E-2</v>
      </c>
      <c r="L35" s="218">
        <f>(Control!$E$63-Control!$E$61)/($E$10-1)+K35</f>
        <v>3.4210526315789469E-2</v>
      </c>
      <c r="M35" s="218">
        <f>(Control!$E$63-Control!$E$61)/($E$10-1)+L35</f>
        <v>3.5263157894736837E-2</v>
      </c>
      <c r="N35" s="218">
        <f>(Control!$E$63-Control!$E$61)/($E$10-1)+M35</f>
        <v>3.6315789473684204E-2</v>
      </c>
      <c r="O35" s="218">
        <f>(Control!$E$63-Control!$E$61)/($E$10-1)+N35</f>
        <v>3.7368421052631572E-2</v>
      </c>
      <c r="P35" s="218">
        <f>(Control!$E$63-Control!$E$61)/($E$10-1)+O35</f>
        <v>3.8421052631578939E-2</v>
      </c>
      <c r="Q35" s="218">
        <f>(Control!$E$63-Control!$E$61)/($E$10-1)+P35</f>
        <v>3.9473684210526307E-2</v>
      </c>
      <c r="R35" s="218">
        <f>(Control!$E$63-Control!$E$61)/($E$10-1)+Q35</f>
        <v>4.0526315789473674E-2</v>
      </c>
      <c r="S35" s="218">
        <f>(Control!$E$63-Control!$E$61)/($E$10-1)+R35</f>
        <v>4.1578947368421042E-2</v>
      </c>
      <c r="T35" s="218">
        <f>(Control!$E$63-Control!$E$61)/($E$10-1)+S35</f>
        <v>4.2631578947368409E-2</v>
      </c>
      <c r="U35" s="218">
        <f>(Control!$E$63-Control!$E$61)/($E$10-1)+T35</f>
        <v>4.3684210526315777E-2</v>
      </c>
      <c r="V35" s="218">
        <f>(Control!$E$63-Control!$E$61)/($E$10-1)+U35</f>
        <v>4.4736842105263144E-2</v>
      </c>
      <c r="W35" s="218">
        <f>(Control!$E$63-Control!$E$61)/($E$10-1)+V35</f>
        <v>4.5789473684210512E-2</v>
      </c>
      <c r="X35" s="218">
        <f>(Control!$E$63-Control!$E$61)/($E$10-1)+W35</f>
        <v>4.6842105263157879E-2</v>
      </c>
      <c r="Y35" s="218">
        <f>(Control!$E$63-Control!$E$61)/($E$10-1)+X35</f>
        <v>4.7894736842105247E-2</v>
      </c>
      <c r="Z35" s="218">
        <f>(Control!$E$63-Control!$E$61)/($E$10-1)+Y35</f>
        <v>4.8947368421052614E-2</v>
      </c>
      <c r="AA35" s="218">
        <f>(Control!$E$63-Control!$E$61)/($E$10-1)+Z35</f>
        <v>4.9999999999999982E-2</v>
      </c>
    </row>
    <row r="36" spans="2:27" outlineLevel="1" x14ac:dyDescent="0.45">
      <c r="B36" s="157"/>
      <c r="C36" s="156" t="s">
        <v>13</v>
      </c>
      <c r="D36" s="25" t="s">
        <v>18</v>
      </c>
      <c r="E36" s="12" t="str">
        <f>IFERROR(E34/D34-1,"N/A")</f>
        <v>N/A</v>
      </c>
      <c r="F36" s="12" t="str">
        <f>IFERROR(F34/E34-1,"N/A")</f>
        <v>N/A</v>
      </c>
      <c r="G36" s="12">
        <f>IFERROR(G34/F34-1,"N/A")</f>
        <v>1.6666666666666665</v>
      </c>
      <c r="H36" s="12">
        <f t="shared" ref="H36:AA36" si="3">IFERROR(H34/G34-1,"N/A")</f>
        <v>1.1087000000000002</v>
      </c>
      <c r="I36" s="12">
        <f t="shared" si="3"/>
        <v>0.70789473684210491</v>
      </c>
      <c r="J36" s="12">
        <f t="shared" si="3"/>
        <v>0.55084745762711851</v>
      </c>
      <c r="K36" s="12">
        <f t="shared" si="3"/>
        <v>0.3942622950819672</v>
      </c>
      <c r="L36" s="12">
        <f t="shared" si="3"/>
        <v>0.23809523809523814</v>
      </c>
      <c r="M36" s="12">
        <f t="shared" si="3"/>
        <v>8.2307692307692415E-2</v>
      </c>
      <c r="N36" s="12">
        <f t="shared" si="3"/>
        <v>5.0447761194029717E-2</v>
      </c>
      <c r="O36" s="12">
        <f t="shared" si="3"/>
        <v>4.9565217391304373E-2</v>
      </c>
      <c r="P36" s="12">
        <f t="shared" si="3"/>
        <v>4.8732394366197251E-2</v>
      </c>
      <c r="Q36" s="12">
        <f t="shared" si="3"/>
        <v>4.7945205479452024E-2</v>
      </c>
      <c r="R36" s="12">
        <f t="shared" si="3"/>
        <v>4.7200000000000131E-2</v>
      </c>
      <c r="S36" s="12">
        <f t="shared" si="3"/>
        <v>4.6493506493506365E-2</v>
      </c>
      <c r="T36" s="12">
        <f t="shared" si="3"/>
        <v>4.5822784810126471E-2</v>
      </c>
      <c r="U36" s="12">
        <f t="shared" si="3"/>
        <v>4.5185185185185217E-2</v>
      </c>
      <c r="V36" s="12">
        <f t="shared" si="3"/>
        <v>4.4578313253011981E-2</v>
      </c>
      <c r="W36" s="12">
        <f t="shared" si="3"/>
        <v>4.3999999999999817E-2</v>
      </c>
      <c r="X36" s="12">
        <f t="shared" si="3"/>
        <v>4.3448275862069119E-2</v>
      </c>
      <c r="Y36" s="12">
        <f t="shared" si="3"/>
        <v>4.2921348314606478E-2</v>
      </c>
      <c r="Z36" s="12">
        <f t="shared" si="3"/>
        <v>4.2417582417582311E-2</v>
      </c>
      <c r="AA36" s="12">
        <f t="shared" si="3"/>
        <v>4.1935483870967794E-2</v>
      </c>
    </row>
    <row r="37" spans="2:27" outlineLevel="1" x14ac:dyDescent="0.45">
      <c r="B37" s="157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86"/>
      <c r="Z37" s="86"/>
      <c r="AA37" s="86"/>
    </row>
    <row r="38" spans="2:27" outlineLevel="1" x14ac:dyDescent="0.45">
      <c r="B38" s="157"/>
      <c r="C38" s="116" t="s">
        <v>243</v>
      </c>
      <c r="D38" s="26" t="s">
        <v>238</v>
      </c>
      <c r="E38" s="255">
        <f>IFERROR(AVERAGE(D34,E34), "N/A")</f>
        <v>0</v>
      </c>
      <c r="F38" s="255">
        <f>IFERROR(AVERAGE(E34,F34), "N/A")</f>
        <v>150</v>
      </c>
      <c r="G38" s="255">
        <f>IFERROR(AVERAGE(F34,G34), "N/A")</f>
        <v>550</v>
      </c>
      <c r="H38" s="255">
        <f t="shared" ref="H38:AA38" si="4">IFERROR(AVERAGE(G34,H34), "N/A")</f>
        <v>1243.48</v>
      </c>
      <c r="I38" s="255">
        <f t="shared" si="4"/>
        <v>2284.0550526315787</v>
      </c>
      <c r="J38" s="255">
        <f t="shared" si="4"/>
        <v>3674.6872105263151</v>
      </c>
      <c r="K38" s="255">
        <f t="shared" si="4"/>
        <v>5349.0505026315777</v>
      </c>
      <c r="L38" s="255">
        <f t="shared" si="4"/>
        <v>6971.5286763157874</v>
      </c>
      <c r="M38" s="255">
        <f t="shared" si="4"/>
        <v>8030.607713526314</v>
      </c>
      <c r="N38" s="255">
        <f t="shared" si="4"/>
        <v>8558.604595998946</v>
      </c>
      <c r="O38" s="255">
        <f t="shared" si="4"/>
        <v>8986.497446538755</v>
      </c>
      <c r="P38" s="255">
        <f t="shared" si="4"/>
        <v>9428.0825692617582</v>
      </c>
      <c r="Q38" s="255">
        <f t="shared" si="4"/>
        <v>9883.7364979150661</v>
      </c>
      <c r="R38" s="255">
        <f t="shared" si="4"/>
        <v>10353.845350686803</v>
      </c>
      <c r="S38" s="255">
        <f t="shared" si="4"/>
        <v>10838.805062970241</v>
      </c>
      <c r="T38" s="255">
        <f t="shared" si="4"/>
        <v>11339.021625604741</v>
      </c>
      <c r="U38" s="255">
        <f t="shared" si="4"/>
        <v>11854.911328719434</v>
      </c>
      <c r="V38" s="255">
        <f t="shared" si="4"/>
        <v>12386.901011308473</v>
      </c>
      <c r="W38" s="255">
        <f t="shared" si="4"/>
        <v>12935.428316669586</v>
      </c>
      <c r="X38" s="255">
        <f t="shared" si="4"/>
        <v>13500.941953840618</v>
      </c>
      <c r="Y38" s="255">
        <f t="shared" si="4"/>
        <v>14083.901965171826</v>
      </c>
      <c r="Z38" s="255">
        <f t="shared" si="4"/>
        <v>14684.780000174746</v>
      </c>
      <c r="AA38" s="255">
        <f t="shared" si="4"/>
        <v>15304.059595791712</v>
      </c>
    </row>
    <row r="39" spans="2:27" outlineLevel="1" x14ac:dyDescent="0.45">
      <c r="B39" s="157"/>
      <c r="C39" s="116" t="s">
        <v>246</v>
      </c>
      <c r="D39" s="25" t="s">
        <v>18</v>
      </c>
      <c r="E39" s="38">
        <v>0</v>
      </c>
      <c r="F39" s="38">
        <v>0</v>
      </c>
      <c r="G39" s="38">
        <v>0</v>
      </c>
      <c r="H39" s="38">
        <v>0.40209733972400041</v>
      </c>
      <c r="I39" s="38">
        <v>0.35</v>
      </c>
      <c r="J39" s="38">
        <v>0.3</v>
      </c>
      <c r="K39" s="38">
        <v>0.25</v>
      </c>
      <c r="L39" s="276">
        <f>Control!$E$68</f>
        <v>0.2</v>
      </c>
      <c r="M39" s="219">
        <f>Control!$E$68</f>
        <v>0.2</v>
      </c>
      <c r="N39" s="219">
        <f>Control!$E$68</f>
        <v>0.2</v>
      </c>
      <c r="O39" s="219">
        <f>Control!$E$68</f>
        <v>0.2</v>
      </c>
      <c r="P39" s="219">
        <f>Control!$E$68</f>
        <v>0.2</v>
      </c>
      <c r="Q39" s="219">
        <f>Control!$E$68</f>
        <v>0.2</v>
      </c>
      <c r="R39" s="219">
        <f>Control!$E$68</f>
        <v>0.2</v>
      </c>
      <c r="S39" s="219">
        <f>Control!$E$68</f>
        <v>0.2</v>
      </c>
      <c r="T39" s="219">
        <f>Control!$E$68</f>
        <v>0.2</v>
      </c>
      <c r="U39" s="219">
        <f>Control!$E$68</f>
        <v>0.2</v>
      </c>
      <c r="V39" s="219">
        <f>Control!$E$68</f>
        <v>0.2</v>
      </c>
      <c r="W39" s="219">
        <f>Control!$E$68</f>
        <v>0.2</v>
      </c>
      <c r="X39" s="219">
        <f>Control!$E$68</f>
        <v>0.2</v>
      </c>
      <c r="Y39" s="219">
        <f>Control!$E$68</f>
        <v>0.2</v>
      </c>
      <c r="Z39" s="219">
        <f>Control!$E$68</f>
        <v>0.2</v>
      </c>
      <c r="AA39" s="219">
        <f>Control!$E$68</f>
        <v>0.2</v>
      </c>
    </row>
    <row r="40" spans="2:27" outlineLevel="1" x14ac:dyDescent="0.45">
      <c r="B40" s="157"/>
      <c r="C40" s="116" t="s">
        <v>247</v>
      </c>
      <c r="D40" s="26" t="s">
        <v>238</v>
      </c>
      <c r="E40" s="255">
        <f t="shared" ref="E40:G40" si="5">E38*E39</f>
        <v>0</v>
      </c>
      <c r="F40" s="255">
        <f t="shared" si="5"/>
        <v>0</v>
      </c>
      <c r="G40" s="255">
        <f t="shared" si="5"/>
        <v>0</v>
      </c>
      <c r="H40" s="255">
        <f>H38*H39</f>
        <v>500.00000000000006</v>
      </c>
      <c r="I40" s="255">
        <f>I38*I39</f>
        <v>799.41926842105249</v>
      </c>
      <c r="J40" s="255">
        <f t="shared" ref="J40:AA40" si="6">J38*J39</f>
        <v>1102.4061631578945</v>
      </c>
      <c r="K40" s="255">
        <f t="shared" si="6"/>
        <v>1337.2626256578944</v>
      </c>
      <c r="L40" s="255">
        <f t="shared" si="6"/>
        <v>1394.3057352631577</v>
      </c>
      <c r="M40" s="255">
        <f t="shared" si="6"/>
        <v>1606.121542705263</v>
      </c>
      <c r="N40" s="255">
        <f t="shared" si="6"/>
        <v>1711.7209191997893</v>
      </c>
      <c r="O40" s="255">
        <f t="shared" si="6"/>
        <v>1797.2994893077512</v>
      </c>
      <c r="P40" s="255">
        <f t="shared" si="6"/>
        <v>1885.6165138523518</v>
      </c>
      <c r="Q40" s="255">
        <f t="shared" si="6"/>
        <v>1976.7472995830133</v>
      </c>
      <c r="R40" s="255">
        <f t="shared" si="6"/>
        <v>2070.7690701373608</v>
      </c>
      <c r="S40" s="255">
        <f t="shared" si="6"/>
        <v>2167.7610125940482</v>
      </c>
      <c r="T40" s="255">
        <f t="shared" si="6"/>
        <v>2267.8043251209483</v>
      </c>
      <c r="U40" s="255">
        <f t="shared" si="6"/>
        <v>2370.9822657438867</v>
      </c>
      <c r="V40" s="255">
        <f t="shared" si="6"/>
        <v>2477.3802022616946</v>
      </c>
      <c r="W40" s="255">
        <f t="shared" si="6"/>
        <v>2587.0856633339172</v>
      </c>
      <c r="X40" s="255">
        <f t="shared" si="6"/>
        <v>2700.188390768124</v>
      </c>
      <c r="Y40" s="255">
        <f t="shared" si="6"/>
        <v>2816.7803930343653</v>
      </c>
      <c r="Z40" s="255">
        <f t="shared" si="6"/>
        <v>2936.9560000349493</v>
      </c>
      <c r="AA40" s="255">
        <f t="shared" si="6"/>
        <v>3060.8119191583428</v>
      </c>
    </row>
    <row r="41" spans="2:27" outlineLevel="1" x14ac:dyDescent="0.45">
      <c r="B41" s="157"/>
      <c r="C41" s="116" t="s">
        <v>248</v>
      </c>
      <c r="D41" s="26" t="s">
        <v>238</v>
      </c>
      <c r="E41" s="255">
        <f t="shared" ref="E41:G41" si="7">E38-E40</f>
        <v>0</v>
      </c>
      <c r="F41" s="255">
        <f t="shared" si="7"/>
        <v>150</v>
      </c>
      <c r="G41" s="255">
        <f t="shared" si="7"/>
        <v>550</v>
      </c>
      <c r="H41" s="255">
        <f>H38-H40</f>
        <v>743.48</v>
      </c>
      <c r="I41" s="255">
        <f>I38-I40</f>
        <v>1484.6357842105263</v>
      </c>
      <c r="J41" s="255">
        <f t="shared" ref="J41:AA41" si="8">J38-J40</f>
        <v>2572.2810473684203</v>
      </c>
      <c r="K41" s="255">
        <f t="shared" si="8"/>
        <v>4011.7878769736835</v>
      </c>
      <c r="L41" s="255">
        <f t="shared" si="8"/>
        <v>5577.2229410526297</v>
      </c>
      <c r="M41" s="255">
        <f t="shared" si="8"/>
        <v>6424.486170821051</v>
      </c>
      <c r="N41" s="255">
        <f t="shared" si="8"/>
        <v>6846.883676799157</v>
      </c>
      <c r="O41" s="255">
        <f t="shared" si="8"/>
        <v>7189.1979572310038</v>
      </c>
      <c r="P41" s="255">
        <f t="shared" si="8"/>
        <v>7542.4660554094062</v>
      </c>
      <c r="Q41" s="255">
        <f t="shared" si="8"/>
        <v>7906.9891983320531</v>
      </c>
      <c r="R41" s="255">
        <f t="shared" si="8"/>
        <v>8283.0762805494414</v>
      </c>
      <c r="S41" s="255">
        <f t="shared" si="8"/>
        <v>8671.0440503761929</v>
      </c>
      <c r="T41" s="255">
        <f t="shared" si="8"/>
        <v>9071.2173004837932</v>
      </c>
      <c r="U41" s="255">
        <f t="shared" si="8"/>
        <v>9483.9290629755469</v>
      </c>
      <c r="V41" s="255">
        <f t="shared" si="8"/>
        <v>9909.5208090467786</v>
      </c>
      <c r="W41" s="255">
        <f t="shared" si="8"/>
        <v>10348.342653335669</v>
      </c>
      <c r="X41" s="255">
        <f t="shared" si="8"/>
        <v>10800.753563072494</v>
      </c>
      <c r="Y41" s="255">
        <f t="shared" si="8"/>
        <v>11267.121572137461</v>
      </c>
      <c r="Z41" s="255">
        <f t="shared" si="8"/>
        <v>11747.824000139797</v>
      </c>
      <c r="AA41" s="255">
        <f t="shared" si="8"/>
        <v>12243.247676633369</v>
      </c>
    </row>
    <row r="42" spans="2:27" outlineLevel="1" x14ac:dyDescent="0.45">
      <c r="B42" s="157"/>
      <c r="C42" s="86"/>
      <c r="D42" s="86"/>
      <c r="E42" s="86"/>
      <c r="F42" s="86"/>
      <c r="G42" s="86"/>
      <c r="H42" s="273"/>
      <c r="I42" s="273"/>
      <c r="J42" s="273"/>
      <c r="K42" s="273"/>
      <c r="L42" s="273"/>
      <c r="M42" s="273"/>
      <c r="N42" s="273"/>
      <c r="O42" s="273"/>
      <c r="P42" s="273"/>
      <c r="Q42" s="273"/>
      <c r="R42" s="273"/>
      <c r="S42" s="273"/>
      <c r="T42" s="273"/>
      <c r="U42" s="273"/>
      <c r="V42" s="273"/>
      <c r="W42" s="273"/>
      <c r="X42" s="273"/>
      <c r="Y42" s="273"/>
      <c r="Z42" s="273"/>
      <c r="AA42" s="273"/>
    </row>
    <row r="43" spans="2:27" outlineLevel="1" x14ac:dyDescent="0.45">
      <c r="C43" s="5" t="s">
        <v>85</v>
      </c>
      <c r="D43" s="25" t="s">
        <v>20</v>
      </c>
      <c r="E43" s="100">
        <v>-463</v>
      </c>
      <c r="F43" s="100">
        <v>-5633</v>
      </c>
      <c r="G43" s="100">
        <v>-12727</v>
      </c>
      <c r="H43" s="101">
        <f t="shared" ref="H43:AA43" si="9">-H44*H38</f>
        <v>-30212.833560000003</v>
      </c>
      <c r="I43" s="101">
        <f t="shared" si="9"/>
        <v>-36072.195648963156</v>
      </c>
      <c r="J43" s="101">
        <f t="shared" si="9"/>
        <v>-40624.163195141831</v>
      </c>
      <c r="K43" s="101">
        <f t="shared" si="9"/>
        <v>-44350.856571307457</v>
      </c>
      <c r="L43" s="101">
        <f t="shared" si="9"/>
        <v>-43352.544753586313</v>
      </c>
      <c r="M43" s="101">
        <f t="shared" si="9"/>
        <v>-39950.753582283629</v>
      </c>
      <c r="N43" s="101">
        <f t="shared" si="9"/>
        <v>-36190.822426798724</v>
      </c>
      <c r="O43" s="101">
        <f t="shared" si="9"/>
        <v>-34200.184937944745</v>
      </c>
      <c r="P43" s="101">
        <f t="shared" si="9"/>
        <v>-34086.701846557524</v>
      </c>
      <c r="Q43" s="101">
        <f t="shared" si="9"/>
        <v>-33947.388329110952</v>
      </c>
      <c r="R43" s="101">
        <f t="shared" si="9"/>
        <v>-33783.954929271531</v>
      </c>
      <c r="S43" s="101">
        <f t="shared" si="9"/>
        <v>-33598.030960037868</v>
      </c>
      <c r="T43" s="101">
        <f t="shared" si="9"/>
        <v>-33391.167896209656</v>
      </c>
      <c r="U43" s="101">
        <f t="shared" si="9"/>
        <v>-33164.842634586203</v>
      </c>
      <c r="V43" s="101">
        <f t="shared" si="9"/>
        <v>-32920.460626835149</v>
      </c>
      <c r="W43" s="101">
        <f t="shared" si="9"/>
        <v>-32659.358889792817</v>
      </c>
      <c r="X43" s="101">
        <f t="shared" si="9"/>
        <v>-32382.808897784722</v>
      </c>
      <c r="Y43" s="101">
        <f t="shared" si="9"/>
        <v>-32092.019361388047</v>
      </c>
      <c r="Z43" s="101">
        <f t="shared" si="9"/>
        <v>-31788.138896897191</v>
      </c>
      <c r="AA43" s="101">
        <f t="shared" si="9"/>
        <v>-31472.258590598471</v>
      </c>
    </row>
    <row r="44" spans="2:27" outlineLevel="1" x14ac:dyDescent="0.45">
      <c r="B44" s="157"/>
      <c r="C44" s="116" t="s">
        <v>253</v>
      </c>
      <c r="D44" s="26" t="s">
        <v>239</v>
      </c>
      <c r="E44" s="251" t="str">
        <f>IFERROR(-E43/E$38, "N/A")</f>
        <v>N/A</v>
      </c>
      <c r="F44" s="251">
        <f>IFERROR(-F43/F$38, "N/A")</f>
        <v>37.553333333333335</v>
      </c>
      <c r="G44" s="251">
        <f>IFERROR(-G43/G$38, "N/A")</f>
        <v>23.14</v>
      </c>
      <c r="H44" s="251">
        <f>G44*(1+H45)</f>
        <v>24.297000000000001</v>
      </c>
      <c r="I44" s="251">
        <f t="shared" ref="I44:AA44" si="10">H44*(1+I45)</f>
        <v>15.793050000000001</v>
      </c>
      <c r="J44" s="251">
        <f t="shared" si="10"/>
        <v>11.055135</v>
      </c>
      <c r="K44" s="251">
        <f t="shared" si="10"/>
        <v>8.29135125</v>
      </c>
      <c r="L44" s="251">
        <f t="shared" si="10"/>
        <v>6.2185134375000004</v>
      </c>
      <c r="M44" s="251">
        <f t="shared" si="10"/>
        <v>4.9748107500000005</v>
      </c>
      <c r="N44" s="251">
        <f t="shared" si="10"/>
        <v>4.2285891375000002</v>
      </c>
      <c r="O44" s="251">
        <f t="shared" si="10"/>
        <v>3.8057302237500004</v>
      </c>
      <c r="P44" s="251">
        <f t="shared" si="10"/>
        <v>3.6154437125625001</v>
      </c>
      <c r="Q44" s="251">
        <f t="shared" si="10"/>
        <v>3.4346715269343751</v>
      </c>
      <c r="R44" s="251">
        <f t="shared" si="10"/>
        <v>3.2629379505876561</v>
      </c>
      <c r="S44" s="251">
        <f t="shared" si="10"/>
        <v>3.0997910530582731</v>
      </c>
      <c r="T44" s="251">
        <f t="shared" si="10"/>
        <v>2.9448015004053594</v>
      </c>
      <c r="U44" s="251">
        <f t="shared" si="10"/>
        <v>2.7975614253850911</v>
      </c>
      <c r="V44" s="251">
        <f t="shared" si="10"/>
        <v>2.6576833541158362</v>
      </c>
      <c r="W44" s="251">
        <f t="shared" si="10"/>
        <v>2.5247991864100441</v>
      </c>
      <c r="X44" s="251">
        <f t="shared" si="10"/>
        <v>2.3985592270895419</v>
      </c>
      <c r="Y44" s="251">
        <f t="shared" si="10"/>
        <v>2.2786312657350649</v>
      </c>
      <c r="Z44" s="251">
        <f t="shared" si="10"/>
        <v>2.1646997024483117</v>
      </c>
      <c r="AA44" s="251">
        <f t="shared" si="10"/>
        <v>2.0564647173258961</v>
      </c>
    </row>
    <row r="45" spans="2:27" outlineLevel="1" x14ac:dyDescent="0.45">
      <c r="B45" s="157"/>
      <c r="C45" s="156" t="s">
        <v>13</v>
      </c>
      <c r="D45" s="25" t="s">
        <v>18</v>
      </c>
      <c r="E45" s="12" t="str">
        <f>IFERROR(E44/D44-1, "N/A")</f>
        <v>N/A</v>
      </c>
      <c r="F45" s="12" t="str">
        <f>IFERROR(F44/E44-1, "N/A")</f>
        <v>N/A</v>
      </c>
      <c r="G45" s="12">
        <f>IFERROR(G44/F44-1, "N/A")</f>
        <v>-0.38380969288123556</v>
      </c>
      <c r="H45" s="38">
        <v>0.05</v>
      </c>
      <c r="I45" s="38">
        <v>-0.35</v>
      </c>
      <c r="J45" s="38">
        <v>-0.3</v>
      </c>
      <c r="K45" s="38">
        <v>-0.25</v>
      </c>
      <c r="L45" s="38">
        <v>-0.25</v>
      </c>
      <c r="M45" s="38">
        <v>-0.2</v>
      </c>
      <c r="N45" s="38">
        <v>-0.15</v>
      </c>
      <c r="O45" s="38">
        <v>-0.1</v>
      </c>
      <c r="P45" s="38">
        <v>-0.05</v>
      </c>
      <c r="Q45" s="38">
        <v>-0.05</v>
      </c>
      <c r="R45" s="38">
        <v>-0.05</v>
      </c>
      <c r="S45" s="38">
        <v>-0.05</v>
      </c>
      <c r="T45" s="38">
        <v>-0.05</v>
      </c>
      <c r="U45" s="38">
        <v>-0.05</v>
      </c>
      <c r="V45" s="38">
        <v>-0.05</v>
      </c>
      <c r="W45" s="38">
        <v>-0.05</v>
      </c>
      <c r="X45" s="38">
        <v>-0.05</v>
      </c>
      <c r="Y45" s="38">
        <v>-0.05</v>
      </c>
      <c r="Z45" s="38">
        <v>-0.05</v>
      </c>
      <c r="AA45" s="38">
        <v>-0.05</v>
      </c>
    </row>
    <row r="46" spans="2:27" outlineLevel="1" x14ac:dyDescent="0.45">
      <c r="B46" s="157"/>
      <c r="C46" s="86"/>
      <c r="D46" s="86"/>
      <c r="E46" s="86"/>
      <c r="F46" s="86"/>
      <c r="G46" s="86"/>
      <c r="H46" s="273"/>
      <c r="I46" s="273"/>
      <c r="J46" s="273"/>
      <c r="K46" s="273"/>
      <c r="L46" s="273"/>
      <c r="M46" s="273"/>
      <c r="N46" s="273"/>
      <c r="O46" s="273"/>
      <c r="P46" s="273"/>
      <c r="Q46" s="273"/>
      <c r="R46" s="273"/>
      <c r="S46" s="273"/>
      <c r="T46" s="273"/>
      <c r="U46" s="273"/>
      <c r="V46" s="273"/>
      <c r="W46" s="273"/>
      <c r="X46" s="273"/>
      <c r="Y46" s="273"/>
      <c r="Z46" s="273"/>
      <c r="AA46" s="273"/>
    </row>
    <row r="47" spans="2:27" outlineLevel="1" x14ac:dyDescent="0.45">
      <c r="C47" s="5" t="s">
        <v>96</v>
      </c>
      <c r="D47" s="25" t="s">
        <v>20</v>
      </c>
      <c r="E47" s="100">
        <v>1180</v>
      </c>
      <c r="F47" s="100">
        <v>1679</v>
      </c>
      <c r="G47" s="100">
        <v>3568</v>
      </c>
      <c r="H47" s="101">
        <f t="shared" ref="H47:AA47" si="11">H48*H38</f>
        <v>8470.133585454545</v>
      </c>
      <c r="I47" s="101">
        <f t="shared" si="11"/>
        <v>10890.70671713684</v>
      </c>
      <c r="J47" s="101">
        <f t="shared" si="11"/>
        <v>14017.154495797891</v>
      </c>
      <c r="K47" s="101">
        <f t="shared" si="11"/>
        <v>17343.434571374648</v>
      </c>
      <c r="L47" s="101">
        <f t="shared" si="11"/>
        <v>20343.652814755547</v>
      </c>
      <c r="M47" s="101">
        <f t="shared" si="11"/>
        <v>22262.448834496212</v>
      </c>
      <c r="N47" s="101">
        <f t="shared" si="11"/>
        <v>22539.853585747187</v>
      </c>
      <c r="O47" s="101">
        <f t="shared" si="11"/>
        <v>22483.410432227251</v>
      </c>
      <c r="P47" s="101">
        <f t="shared" si="11"/>
        <v>22408.805954929649</v>
      </c>
      <c r="Q47" s="101">
        <f t="shared" si="11"/>
        <v>22317.220397799123</v>
      </c>
      <c r="R47" s="101">
        <f t="shared" si="11"/>
        <v>22209.77828268801</v>
      </c>
      <c r="S47" s="101">
        <f t="shared" si="11"/>
        <v>22087.550729911498</v>
      </c>
      <c r="T47" s="101">
        <f t="shared" si="11"/>
        <v>21951.55768847746</v>
      </c>
      <c r="U47" s="101">
        <f t="shared" si="11"/>
        <v>21802.770079360893</v>
      </c>
      <c r="V47" s="101">
        <f t="shared" si="11"/>
        <v>21642.111855070922</v>
      </c>
      <c r="W47" s="101">
        <f t="shared" si="11"/>
        <v>21470.461978640666</v>
      </c>
      <c r="X47" s="101">
        <f t="shared" si="11"/>
        <v>21288.656325056359</v>
      </c>
      <c r="Y47" s="101">
        <f t="shared" si="11"/>
        <v>21097.489508032813</v>
      </c>
      <c r="Z47" s="101">
        <f t="shared" si="11"/>
        <v>20897.71663493634</v>
      </c>
      <c r="AA47" s="101">
        <f t="shared" si="11"/>
        <v>20690.054992554633</v>
      </c>
    </row>
    <row r="48" spans="2:27" outlineLevel="1" x14ac:dyDescent="0.45">
      <c r="C48" s="5" t="s">
        <v>252</v>
      </c>
      <c r="D48" s="26" t="s">
        <v>239</v>
      </c>
      <c r="E48" s="251" t="str">
        <f>IFERROR(E47/E$38, "N/A")</f>
        <v>N/A</v>
      </c>
      <c r="F48" s="251">
        <f t="shared" ref="F48:G48" si="12">IFERROR(F47/F$38, "N/A")</f>
        <v>11.193333333333333</v>
      </c>
      <c r="G48" s="251">
        <f t="shared" si="12"/>
        <v>6.4872727272727273</v>
      </c>
      <c r="H48" s="251">
        <f>G48*(1+H49)</f>
        <v>6.8116363636363637</v>
      </c>
      <c r="I48" s="251">
        <f t="shared" ref="I48:AA48" si="13">H48*(1+I49)</f>
        <v>4.7681454545454542</v>
      </c>
      <c r="J48" s="251">
        <f t="shared" si="13"/>
        <v>3.8145163636363635</v>
      </c>
      <c r="K48" s="251">
        <f t="shared" si="13"/>
        <v>3.2423389090909089</v>
      </c>
      <c r="L48" s="251">
        <f t="shared" si="13"/>
        <v>2.918105018181818</v>
      </c>
      <c r="M48" s="251">
        <f t="shared" si="13"/>
        <v>2.7721997672727268</v>
      </c>
      <c r="N48" s="251">
        <f t="shared" si="13"/>
        <v>2.6335897789090903</v>
      </c>
      <c r="O48" s="251">
        <f t="shared" si="13"/>
        <v>2.5019102899636358</v>
      </c>
      <c r="P48" s="251">
        <f t="shared" si="13"/>
        <v>2.3768147754654541</v>
      </c>
      <c r="Q48" s="251">
        <f t="shared" si="13"/>
        <v>2.2579740366921812</v>
      </c>
      <c r="R48" s="251">
        <f t="shared" si="13"/>
        <v>2.1450753348575722</v>
      </c>
      <c r="S48" s="251">
        <f t="shared" si="13"/>
        <v>2.0378215681146936</v>
      </c>
      <c r="T48" s="251">
        <f t="shared" si="13"/>
        <v>1.9359304897089589</v>
      </c>
      <c r="U48" s="251">
        <f t="shared" si="13"/>
        <v>1.8391339652235108</v>
      </c>
      <c r="V48" s="251">
        <f t="shared" si="13"/>
        <v>1.7471772669623351</v>
      </c>
      <c r="W48" s="251">
        <f t="shared" si="13"/>
        <v>1.6598184036142183</v>
      </c>
      <c r="X48" s="251">
        <f t="shared" si="13"/>
        <v>1.5768274834335072</v>
      </c>
      <c r="Y48" s="251">
        <f t="shared" si="13"/>
        <v>1.4979861092618318</v>
      </c>
      <c r="Z48" s="251">
        <f t="shared" si="13"/>
        <v>1.4230868037987401</v>
      </c>
      <c r="AA48" s="251">
        <f t="shared" si="13"/>
        <v>1.351932463608803</v>
      </c>
    </row>
    <row r="49" spans="2:27" outlineLevel="1" x14ac:dyDescent="0.45">
      <c r="C49" s="14" t="s">
        <v>13</v>
      </c>
      <c r="D49" s="25" t="s">
        <v>18</v>
      </c>
      <c r="E49" s="12" t="str">
        <f>IFERROR(E48/D48-1, "N/A")</f>
        <v>N/A</v>
      </c>
      <c r="F49" s="12" t="str">
        <f>IFERROR(F48/E48-1, "N/A")</f>
        <v>N/A</v>
      </c>
      <c r="G49" s="12">
        <f>IFERROR(G48/F48-1, "N/A")</f>
        <v>-0.42043424116086414</v>
      </c>
      <c r="H49" s="38">
        <v>0.05</v>
      </c>
      <c r="I49" s="38">
        <v>-0.3</v>
      </c>
      <c r="J49" s="38">
        <v>-0.2</v>
      </c>
      <c r="K49" s="38">
        <v>-0.15</v>
      </c>
      <c r="L49" s="38">
        <v>-0.1</v>
      </c>
      <c r="M49" s="38">
        <v>-0.05</v>
      </c>
      <c r="N49" s="38">
        <v>-0.05</v>
      </c>
      <c r="O49" s="38">
        <v>-0.05</v>
      </c>
      <c r="P49" s="38">
        <v>-0.05</v>
      </c>
      <c r="Q49" s="38">
        <v>-0.05</v>
      </c>
      <c r="R49" s="38">
        <v>-0.05</v>
      </c>
      <c r="S49" s="38">
        <v>-0.05</v>
      </c>
      <c r="T49" s="38">
        <v>-0.05</v>
      </c>
      <c r="U49" s="38">
        <v>-0.05</v>
      </c>
      <c r="V49" s="38">
        <v>-0.05</v>
      </c>
      <c r="W49" s="38">
        <v>-0.05</v>
      </c>
      <c r="X49" s="38">
        <v>-0.05</v>
      </c>
      <c r="Y49" s="38">
        <v>-0.05</v>
      </c>
      <c r="Z49" s="38">
        <v>-0.05</v>
      </c>
      <c r="AA49" s="38">
        <v>-0.05</v>
      </c>
    </row>
    <row r="50" spans="2:27" outlineLevel="1" x14ac:dyDescent="0.45">
      <c r="B50" s="157"/>
      <c r="C50" s="86"/>
      <c r="D50" s="86"/>
      <c r="E50" s="86"/>
      <c r="F50" s="86"/>
      <c r="G50" s="86"/>
      <c r="H50" s="252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86"/>
      <c r="T50" s="86"/>
      <c r="U50" s="86"/>
      <c r="V50" s="86"/>
      <c r="W50" s="86"/>
      <c r="X50" s="86"/>
      <c r="Y50" s="86"/>
      <c r="Z50" s="86"/>
      <c r="AA50" s="86"/>
    </row>
    <row r="51" spans="2:27" outlineLevel="1" x14ac:dyDescent="0.45">
      <c r="B51" s="157"/>
      <c r="C51" s="116" t="s">
        <v>294</v>
      </c>
      <c r="D51" s="26" t="s">
        <v>239</v>
      </c>
      <c r="E51" s="253" t="str">
        <f>IFERROR(E63/E41, "N/A")</f>
        <v>N/A</v>
      </c>
      <c r="F51" s="253">
        <f>IFERROR(F63/F41, "N/A")</f>
        <v>5.9466666666666663</v>
      </c>
      <c r="G51" s="253">
        <f>IFERROR(G63/G41, "N/A")</f>
        <v>2.4672727272727273</v>
      </c>
      <c r="H51" s="252">
        <f>G51*(1+H52)</f>
        <v>2.9607272727272727</v>
      </c>
      <c r="I51" s="252">
        <f t="shared" ref="I51:AA51" si="14">H51*(1+I52)</f>
        <v>3.4048363636363632</v>
      </c>
      <c r="J51" s="252">
        <f t="shared" si="14"/>
        <v>3.74532</v>
      </c>
      <c r="K51" s="252">
        <f t="shared" si="14"/>
        <v>3.9325860000000001</v>
      </c>
      <c r="L51" s="252">
        <f t="shared" si="14"/>
        <v>4.1292153000000003</v>
      </c>
      <c r="M51" s="252">
        <f t="shared" si="14"/>
        <v>4.3356760650000004</v>
      </c>
      <c r="N51" s="252">
        <f t="shared" si="14"/>
        <v>4.5524598682500006</v>
      </c>
      <c r="O51" s="252">
        <f t="shared" si="14"/>
        <v>4.7800828616625006</v>
      </c>
      <c r="P51" s="252">
        <f t="shared" si="14"/>
        <v>5.019087004745626</v>
      </c>
      <c r="Q51" s="252">
        <f t="shared" si="14"/>
        <v>5.2700413549829079</v>
      </c>
      <c r="R51" s="252">
        <f t="shared" si="14"/>
        <v>5.5335434227320537</v>
      </c>
      <c r="S51" s="252">
        <f t="shared" si="14"/>
        <v>5.8102205938686566</v>
      </c>
      <c r="T51" s="252">
        <f t="shared" si="14"/>
        <v>6.1007316235620896</v>
      </c>
      <c r="U51" s="252">
        <f t="shared" si="14"/>
        <v>6.4057682047401947</v>
      </c>
      <c r="V51" s="252">
        <f t="shared" si="14"/>
        <v>6.726056614977205</v>
      </c>
      <c r="W51" s="252">
        <f t="shared" si="14"/>
        <v>7.0623594457260657</v>
      </c>
      <c r="X51" s="252">
        <f t="shared" si="14"/>
        <v>7.4154774180123697</v>
      </c>
      <c r="Y51" s="252">
        <f t="shared" si="14"/>
        <v>7.7862512889129887</v>
      </c>
      <c r="Z51" s="252">
        <f t="shared" si="14"/>
        <v>8.1755638533586392</v>
      </c>
      <c r="AA51" s="252">
        <f t="shared" si="14"/>
        <v>8.5843420460265722</v>
      </c>
    </row>
    <row r="52" spans="2:27" outlineLevel="1" x14ac:dyDescent="0.45">
      <c r="B52" s="157"/>
      <c r="C52" s="156" t="s">
        <v>13</v>
      </c>
      <c r="D52" s="25" t="s">
        <v>18</v>
      </c>
      <c r="E52" s="12" t="str">
        <f>IFERROR(E51/D51-1,"N/A")</f>
        <v>N/A</v>
      </c>
      <c r="F52" s="12" t="str">
        <f>IFERROR(F51/E51-1,"N/A")</f>
        <v>N/A</v>
      </c>
      <c r="G52" s="12">
        <f>IFERROR(G51/F51-1,"N/A")</f>
        <v>-0.58509987770077454</v>
      </c>
      <c r="H52" s="275">
        <f>Control!$E$73</f>
        <v>0.2</v>
      </c>
      <c r="I52" s="218">
        <f>MAX(H52+Control!$E$74,Control!$E$75)</f>
        <v>0.15000000000000002</v>
      </c>
      <c r="J52" s="218">
        <f>MAX(I52+Control!$E$74,Control!$E$75)</f>
        <v>0.10000000000000002</v>
      </c>
      <c r="K52" s="218">
        <f>MAX(J52+Control!$E$74,Control!$E$75)</f>
        <v>5.0000000000000017E-2</v>
      </c>
      <c r="L52" s="218">
        <f>MAX(K52+Control!$E$74,Control!$E$75)</f>
        <v>0.05</v>
      </c>
      <c r="M52" s="218">
        <f>MAX(L52+Control!$E$74,Control!$E$75)</f>
        <v>0.05</v>
      </c>
      <c r="N52" s="218">
        <f>MAX(M52+Control!$E$74,Control!$E$75)</f>
        <v>0.05</v>
      </c>
      <c r="O52" s="218">
        <f>MAX(N52+Control!$E$74,Control!$E$75)</f>
        <v>0.05</v>
      </c>
      <c r="P52" s="218">
        <f>MAX(O52+Control!$E$74,Control!$E$75)</f>
        <v>0.05</v>
      </c>
      <c r="Q52" s="218">
        <f>MAX(P52+Control!$E$74,Control!$E$75)</f>
        <v>0.05</v>
      </c>
      <c r="R52" s="218">
        <f>MAX(Q52+Control!$E$74,Control!$E$75)</f>
        <v>0.05</v>
      </c>
      <c r="S52" s="218">
        <f>MAX(R52+Control!$E$74,Control!$E$75)</f>
        <v>0.05</v>
      </c>
      <c r="T52" s="218">
        <f>MAX(S52+Control!$E$74,Control!$E$75)</f>
        <v>0.05</v>
      </c>
      <c r="U52" s="218">
        <f>MAX(T52+Control!$E$74,Control!$E$75)</f>
        <v>0.05</v>
      </c>
      <c r="V52" s="218">
        <f>MAX(U52+Control!$E$74,Control!$E$75)</f>
        <v>0.05</v>
      </c>
      <c r="W52" s="218">
        <f>MAX(V52+Control!$E$74,Control!$E$75)</f>
        <v>0.05</v>
      </c>
      <c r="X52" s="218">
        <f>MAX(W52+Control!$E$74,Control!$E$75)</f>
        <v>0.05</v>
      </c>
      <c r="Y52" s="218">
        <f>MAX(X52+Control!$E$74,Control!$E$75)</f>
        <v>0.05</v>
      </c>
      <c r="Z52" s="218">
        <f>MAX(Y52+Control!$E$74,Control!$E$75)</f>
        <v>0.05</v>
      </c>
      <c r="AA52" s="218">
        <f>MAX(Z52+Control!$E$74,Control!$E$75)</f>
        <v>0.05</v>
      </c>
    </row>
    <row r="53" spans="2:27" outlineLevel="1" x14ac:dyDescent="0.45">
      <c r="B53" s="157"/>
      <c r="C53" s="86"/>
      <c r="D53" s="86"/>
      <c r="E53" s="86"/>
      <c r="F53" s="86"/>
      <c r="G53" s="86"/>
      <c r="H53" s="252"/>
      <c r="I53" s="252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6"/>
    </row>
    <row r="54" spans="2:27" outlineLevel="1" x14ac:dyDescent="0.45">
      <c r="B54" s="157"/>
      <c r="C54" s="116" t="s">
        <v>249</v>
      </c>
      <c r="D54" s="26" t="s">
        <v>239</v>
      </c>
      <c r="E54" s="86"/>
      <c r="F54" s="86"/>
      <c r="G54" s="86"/>
      <c r="H54" s="256">
        <v>19.999999999999996</v>
      </c>
      <c r="I54" s="256">
        <v>30</v>
      </c>
      <c r="J54" s="252">
        <f>I54*(1+J55)</f>
        <v>25.5</v>
      </c>
      <c r="K54" s="252">
        <f t="shared" ref="K54:AA54" si="15">J54*(1+K55)</f>
        <v>22.95</v>
      </c>
      <c r="L54" s="252">
        <f t="shared" si="15"/>
        <v>21.802499999999998</v>
      </c>
      <c r="M54" s="252">
        <f t="shared" si="15"/>
        <v>21.802499999999998</v>
      </c>
      <c r="N54" s="252">
        <f t="shared" si="15"/>
        <v>22.892624999999999</v>
      </c>
      <c r="O54" s="252">
        <f t="shared" si="15"/>
        <v>23.808329999999998</v>
      </c>
      <c r="P54" s="252">
        <f t="shared" si="15"/>
        <v>24.5225799</v>
      </c>
      <c r="Q54" s="252">
        <f t="shared" si="15"/>
        <v>25.258257297</v>
      </c>
      <c r="R54" s="252">
        <f t="shared" si="15"/>
        <v>26.01600501591</v>
      </c>
      <c r="S54" s="252">
        <f t="shared" si="15"/>
        <v>26.796485166387303</v>
      </c>
      <c r="T54" s="252">
        <f t="shared" si="15"/>
        <v>27.600379721378921</v>
      </c>
      <c r="U54" s="252">
        <f t="shared" si="15"/>
        <v>28.42839111302029</v>
      </c>
      <c r="V54" s="252">
        <f t="shared" si="15"/>
        <v>29.281242846410898</v>
      </c>
      <c r="W54" s="252">
        <f t="shared" si="15"/>
        <v>30.159680131803224</v>
      </c>
      <c r="X54" s="252">
        <f t="shared" si="15"/>
        <v>31.064470535757323</v>
      </c>
      <c r="Y54" s="252">
        <f t="shared" si="15"/>
        <v>31.996404651830044</v>
      </c>
      <c r="Z54" s="252">
        <f t="shared" si="15"/>
        <v>32.956296791384943</v>
      </c>
      <c r="AA54" s="252">
        <f t="shared" si="15"/>
        <v>33.944985695126491</v>
      </c>
    </row>
    <row r="55" spans="2:27" outlineLevel="1" x14ac:dyDescent="0.45">
      <c r="B55" s="157"/>
      <c r="C55" s="156" t="s">
        <v>13</v>
      </c>
      <c r="D55" s="25" t="s">
        <v>18</v>
      </c>
      <c r="E55" s="86"/>
      <c r="F55" s="86"/>
      <c r="G55" s="86"/>
      <c r="H55" s="12"/>
      <c r="I55" s="12">
        <f>I54/H54-1</f>
        <v>0.50000000000000022</v>
      </c>
      <c r="J55" s="38">
        <v>-0.15</v>
      </c>
      <c r="K55" s="38">
        <v>-0.1</v>
      </c>
      <c r="L55" s="38">
        <v>-0.05</v>
      </c>
      <c r="M55" s="38">
        <v>0</v>
      </c>
      <c r="N55" s="38">
        <v>0.05</v>
      </c>
      <c r="O55" s="38">
        <v>0.04</v>
      </c>
      <c r="P55" s="38">
        <v>0.03</v>
      </c>
      <c r="Q55" s="38">
        <v>0.03</v>
      </c>
      <c r="R55" s="38">
        <v>0.03</v>
      </c>
      <c r="S55" s="38">
        <v>0.03</v>
      </c>
      <c r="T55" s="38">
        <v>0.03</v>
      </c>
      <c r="U55" s="38">
        <v>0.03</v>
      </c>
      <c r="V55" s="38">
        <v>0.03</v>
      </c>
      <c r="W55" s="38">
        <v>0.03</v>
      </c>
      <c r="X55" s="38">
        <v>0.03</v>
      </c>
      <c r="Y55" s="38">
        <v>0.03</v>
      </c>
      <c r="Z55" s="38">
        <v>0.03</v>
      </c>
      <c r="AA55" s="38">
        <v>0.03</v>
      </c>
    </row>
    <row r="56" spans="2:27" outlineLevel="1" x14ac:dyDescent="0.45">
      <c r="B56" s="157"/>
      <c r="C56" s="86"/>
      <c r="D56" s="86"/>
      <c r="E56" s="86"/>
      <c r="F56" s="86"/>
      <c r="G56" s="86"/>
      <c r="H56" s="252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  <c r="W56" s="86"/>
      <c r="X56" s="86"/>
      <c r="Y56" s="86"/>
      <c r="Z56" s="86"/>
      <c r="AA56" s="86"/>
    </row>
    <row r="57" spans="2:27" outlineLevel="1" x14ac:dyDescent="0.45">
      <c r="B57" s="157"/>
      <c r="C57" s="116" t="s">
        <v>240</v>
      </c>
      <c r="D57" s="26" t="s">
        <v>241</v>
      </c>
      <c r="E57" s="92">
        <v>395</v>
      </c>
      <c r="F57" s="92">
        <v>445</v>
      </c>
      <c r="G57" s="92">
        <v>520</v>
      </c>
      <c r="H57" s="93">
        <f>G57*(1+H58)</f>
        <v>572</v>
      </c>
      <c r="I57" s="93">
        <f t="shared" ref="I57:AA57" si="16">H57*(1+I58)</f>
        <v>626.79157894736841</v>
      </c>
      <c r="J57" s="93">
        <f t="shared" si="16"/>
        <v>684.19249196675889</v>
      </c>
      <c r="K57" s="93">
        <f t="shared" si="16"/>
        <v>743.96930968595996</v>
      </c>
      <c r="L57" s="93">
        <f t="shared" si="16"/>
        <v>805.83623122826612</v>
      </c>
      <c r="M57" s="93">
        <f t="shared" si="16"/>
        <v>869.45488106207665</v>
      </c>
      <c r="N57" s="93">
        <f t="shared" si="16"/>
        <v>934.43519322566351</v>
      </c>
      <c r="O57" s="93">
        <f t="shared" si="16"/>
        <v>1000.3374647478946</v>
      </c>
      <c r="P57" s="93">
        <f t="shared" si="16"/>
        <v>1066.6756334627551</v>
      </c>
      <c r="Q57" s="93">
        <f t="shared" si="16"/>
        <v>1132.9218043830738</v>
      </c>
      <c r="R57" s="93">
        <f t="shared" si="16"/>
        <v>1198.5120141105149</v>
      </c>
      <c r="S57" s="93">
        <f t="shared" si="16"/>
        <v>1262.8531853943425</v>
      </c>
      <c r="T57" s="93">
        <f t="shared" si="16"/>
        <v>1325.3311850927994</v>
      </c>
      <c r="U57" s="93">
        <f t="shared" si="16"/>
        <v>1385.3198597864734</v>
      </c>
      <c r="V57" s="93">
        <f t="shared" si="16"/>
        <v>1442.1908856092866</v>
      </c>
      <c r="W57" s="93">
        <f t="shared" si="16"/>
        <v>1495.324234026471</v>
      </c>
      <c r="X57" s="93">
        <f t="shared" si="16"/>
        <v>1544.1190248210191</v>
      </c>
      <c r="Y57" s="93">
        <f t="shared" si="16"/>
        <v>1588.0045128948796</v>
      </c>
      <c r="Z57" s="93">
        <f t="shared" si="16"/>
        <v>1626.4509379439135</v>
      </c>
      <c r="AA57" s="93">
        <f t="shared" si="16"/>
        <v>1658.9799567027917</v>
      </c>
    </row>
    <row r="58" spans="2:27" outlineLevel="1" x14ac:dyDescent="0.45">
      <c r="B58" s="157"/>
      <c r="C58" s="156" t="s">
        <v>13</v>
      </c>
      <c r="D58" s="25" t="s">
        <v>18</v>
      </c>
      <c r="E58" s="99">
        <v>6.7567567567567544E-2</v>
      </c>
      <c r="F58" s="12">
        <f>IFERROR(F57/E57-1, "N/A")</f>
        <v>0.12658227848101267</v>
      </c>
      <c r="G58" s="12">
        <f>IFERROR(G57/F57-1, "N/A")</f>
        <v>0.1685393258426966</v>
      </c>
      <c r="H58" s="38">
        <v>0.1</v>
      </c>
      <c r="I58" s="38">
        <v>9.5789473684210535E-2</v>
      </c>
      <c r="J58" s="38">
        <v>9.1578947368421065E-2</v>
      </c>
      <c r="K58" s="38">
        <v>8.7368421052631595E-2</v>
      </c>
      <c r="L58" s="38">
        <v>8.3157894736842125E-2</v>
      </c>
      <c r="M58" s="38">
        <v>7.8947368421052655E-2</v>
      </c>
      <c r="N58" s="38">
        <v>7.4736842105263185E-2</v>
      </c>
      <c r="O58" s="38">
        <v>7.0526315789473715E-2</v>
      </c>
      <c r="P58" s="38">
        <v>6.6315789473684245E-2</v>
      </c>
      <c r="Q58" s="38">
        <v>6.2105263157894774E-2</v>
      </c>
      <c r="R58" s="38">
        <v>5.7894736842105304E-2</v>
      </c>
      <c r="S58" s="38">
        <v>5.3684210526315834E-2</v>
      </c>
      <c r="T58" s="38">
        <v>4.9473684210526364E-2</v>
      </c>
      <c r="U58" s="38">
        <v>4.5263157894736894E-2</v>
      </c>
      <c r="V58" s="38">
        <v>4.1052631578947424E-2</v>
      </c>
      <c r="W58" s="38">
        <v>3.6842105263157954E-2</v>
      </c>
      <c r="X58" s="38">
        <v>3.2631578947368484E-2</v>
      </c>
      <c r="Y58" s="38">
        <v>2.8421052631579014E-2</v>
      </c>
      <c r="Z58" s="38">
        <v>2.4210526315789543E-2</v>
      </c>
      <c r="AA58" s="38">
        <v>2.0000000000000073E-2</v>
      </c>
    </row>
    <row r="59" spans="2:27" outlineLevel="1" x14ac:dyDescent="0.45">
      <c r="B59" s="157"/>
      <c r="C59" s="86"/>
      <c r="D59" s="86"/>
      <c r="E59" s="86"/>
      <c r="F59" s="86"/>
      <c r="G59" s="86"/>
      <c r="H59" s="252"/>
      <c r="I59" s="86"/>
      <c r="J59" s="86"/>
      <c r="K59" s="86"/>
      <c r="L59" s="86"/>
      <c r="M59" s="86"/>
      <c r="N59" s="86"/>
      <c r="O59" s="86"/>
      <c r="P59" s="86"/>
      <c r="Q59" s="86"/>
      <c r="R59" s="86"/>
      <c r="S59" s="86"/>
      <c r="T59" s="86"/>
      <c r="U59" s="86"/>
      <c r="V59" s="86"/>
      <c r="W59" s="86"/>
      <c r="X59" s="86"/>
      <c r="Y59" s="86"/>
      <c r="Z59" s="86"/>
      <c r="AA59" s="86"/>
    </row>
    <row r="60" spans="2:27" outlineLevel="1" x14ac:dyDescent="0.45">
      <c r="B60" s="157"/>
      <c r="C60" s="116" t="s">
        <v>251</v>
      </c>
      <c r="D60" s="26" t="s">
        <v>242</v>
      </c>
      <c r="E60" s="143">
        <v>6.0732026143790847</v>
      </c>
      <c r="F60" s="253">
        <f>F65/AVERAGE(E57,F57)</f>
        <v>4.1142857142857139</v>
      </c>
      <c r="G60" s="253">
        <f>G65/AVERAGE(F57,G57)</f>
        <v>3.8217616580310882</v>
      </c>
      <c r="H60" s="252">
        <f>G60*(1+H61)</f>
        <v>4.0128497409326425</v>
      </c>
      <c r="I60" s="252">
        <f t="shared" ref="I60:AA60" si="17">H60*(1+I61)</f>
        <v>4.2071561494409595</v>
      </c>
      <c r="J60" s="252">
        <f t="shared" si="17"/>
        <v>4.4042282006516142</v>
      </c>
      <c r="K60" s="252">
        <f t="shared" si="17"/>
        <v>4.6035774771021609</v>
      </c>
      <c r="L60" s="252">
        <f t="shared" si="17"/>
        <v>4.8046811247860974</v>
      </c>
      <c r="M60" s="252">
        <f t="shared" si="17"/>
        <v>5.0069834879349866</v>
      </c>
      <c r="N60" s="252">
        <f t="shared" si="17"/>
        <v>5.2098980819197207</v>
      </c>
      <c r="O60" s="252">
        <f t="shared" si="17"/>
        <v>5.4128099019523832</v>
      </c>
      <c r="P60" s="252">
        <f t="shared" si="17"/>
        <v>5.6150780614463942</v>
      </c>
      <c r="Q60" s="252">
        <f t="shared" si="17"/>
        <v>5.8160387499613178</v>
      </c>
      <c r="R60" s="252">
        <f t="shared" si="17"/>
        <v>6.0150084966705206</v>
      </c>
      <c r="S60" s="252">
        <f t="shared" si="17"/>
        <v>6.2112877212987172</v>
      </c>
      <c r="T60" s="252">
        <f t="shared" si="17"/>
        <v>6.4041645505390461</v>
      </c>
      <c r="U60" s="252">
        <f t="shared" si="17"/>
        <v>6.5929188741338809</v>
      </c>
      <c r="V60" s="252">
        <f t="shared" si="17"/>
        <v>6.7768266111491942</v>
      </c>
      <c r="W60" s="252">
        <f t="shared" si="17"/>
        <v>6.9551641535478579</v>
      </c>
      <c r="X60" s="252">
        <f t="shared" si="17"/>
        <v>7.1272129510303577</v>
      </c>
      <c r="Y60" s="252">
        <f t="shared" si="17"/>
        <v>7.2922641983173762</v>
      </c>
      <c r="Z60" s="252">
        <f t="shared" si="17"/>
        <v>7.4496235836494886</v>
      </c>
      <c r="AA60" s="252">
        <f t="shared" si="17"/>
        <v>7.5986160553224789</v>
      </c>
    </row>
    <row r="61" spans="2:27" outlineLevel="1" x14ac:dyDescent="0.45">
      <c r="B61" s="157"/>
      <c r="C61" s="156" t="s">
        <v>13</v>
      </c>
      <c r="D61" s="25" t="s">
        <v>18</v>
      </c>
      <c r="E61" s="12" t="str">
        <f>IFERROR(E60/D60-1, "N/A")</f>
        <v>N/A</v>
      </c>
      <c r="F61" s="12">
        <f>IFERROR(F60/E60-1, "N/A")</f>
        <v>-0.32255088862923564</v>
      </c>
      <c r="G61" s="12">
        <f>IFERROR(G60/F60-1, "N/A")</f>
        <v>-7.1099597006332615E-2</v>
      </c>
      <c r="H61" s="38">
        <v>0.05</v>
      </c>
      <c r="I61" s="38">
        <v>4.8421052631578955E-2</v>
      </c>
      <c r="J61" s="38">
        <v>4.68421052631579E-2</v>
      </c>
      <c r="K61" s="38">
        <v>4.5263157894736852E-2</v>
      </c>
      <c r="L61" s="38">
        <v>4.3684210526315805E-2</v>
      </c>
      <c r="M61" s="38">
        <v>4.2105263157894757E-2</v>
      </c>
      <c r="N61" s="38">
        <v>4.0526315789473702E-2</v>
      </c>
      <c r="O61" s="38">
        <v>3.8947368421052654E-2</v>
      </c>
      <c r="P61" s="38">
        <v>3.7368421052631606E-2</v>
      </c>
      <c r="Q61" s="38">
        <v>3.5789473684210552E-2</v>
      </c>
      <c r="R61" s="38">
        <v>3.4210526315789504E-2</v>
      </c>
      <c r="S61" s="38">
        <v>3.2631578947368456E-2</v>
      </c>
      <c r="T61" s="38">
        <v>3.1052631578947401E-2</v>
      </c>
      <c r="U61" s="38">
        <v>2.9473684210526353E-2</v>
      </c>
      <c r="V61" s="38">
        <v>2.7894736842105302E-2</v>
      </c>
      <c r="W61" s="38">
        <v>2.6315789473684254E-2</v>
      </c>
      <c r="X61" s="38">
        <v>2.4736842105263203E-2</v>
      </c>
      <c r="Y61" s="38">
        <v>2.3157894736842152E-2</v>
      </c>
      <c r="Z61" s="38">
        <v>2.1578947368421104E-2</v>
      </c>
      <c r="AA61" s="38">
        <v>2.0000000000000052E-2</v>
      </c>
    </row>
    <row r="62" spans="2:27" outlineLevel="1" x14ac:dyDescent="0.45">
      <c r="B62" s="157"/>
      <c r="C62" s="86"/>
      <c r="D62" s="86"/>
      <c r="E62" s="86"/>
      <c r="F62" s="86"/>
      <c r="G62" s="86"/>
      <c r="H62" s="273"/>
      <c r="I62" s="273"/>
      <c r="J62" s="273"/>
      <c r="K62" s="273"/>
      <c r="L62" s="273"/>
      <c r="M62" s="273"/>
      <c r="N62" s="273"/>
      <c r="O62" s="273"/>
      <c r="P62" s="273"/>
      <c r="Q62" s="273"/>
      <c r="R62" s="273"/>
      <c r="S62" s="273"/>
      <c r="T62" s="86"/>
      <c r="U62" s="86"/>
      <c r="V62" s="86"/>
      <c r="W62" s="86"/>
      <c r="X62" s="86"/>
      <c r="Y62" s="86"/>
      <c r="Z62" s="86"/>
      <c r="AA62" s="86"/>
    </row>
    <row r="63" spans="2:27" outlineLevel="1" x14ac:dyDescent="0.45">
      <c r="C63" s="14" t="s">
        <v>236</v>
      </c>
      <c r="D63" s="25" t="s">
        <v>20</v>
      </c>
      <c r="E63" s="100">
        <v>638</v>
      </c>
      <c r="F63" s="100">
        <v>892</v>
      </c>
      <c r="G63" s="100">
        <v>1357</v>
      </c>
      <c r="H63" s="29">
        <f t="shared" ref="H63:AA63" si="18">H51*H41</f>
        <v>2201.2415127272729</v>
      </c>
      <c r="I63" s="29">
        <f t="shared" si="18"/>
        <v>5054.9419048357886</v>
      </c>
      <c r="J63" s="29">
        <f t="shared" si="18"/>
        <v>9634.015652329892</v>
      </c>
      <c r="K63" s="29">
        <f t="shared" si="18"/>
        <v>15776.700839956431</v>
      </c>
      <c r="L63" s="29">
        <f t="shared" si="18"/>
        <v>23029.55429970552</v>
      </c>
      <c r="M63" s="29">
        <f t="shared" si="18"/>
        <v>27854.490920752334</v>
      </c>
      <c r="N63" s="29">
        <f t="shared" si="18"/>
        <v>31170.163161204171</v>
      </c>
      <c r="O63" s="29">
        <f t="shared" si="18"/>
        <v>34364.961944458977</v>
      </c>
      <c r="P63" s="29">
        <f t="shared" si="18"/>
        <v>37856.293362440352</v>
      </c>
      <c r="Q63" s="29">
        <f t="shared" si="18"/>
        <v>41670.16006861307</v>
      </c>
      <c r="R63" s="29">
        <f t="shared" si="18"/>
        <v>45834.762272222244</v>
      </c>
      <c r="S63" s="29">
        <f t="shared" si="18"/>
        <v>50380.678711838045</v>
      </c>
      <c r="T63" s="29">
        <f t="shared" si="18"/>
        <v>55341.062249265007</v>
      </c>
      <c r="U63" s="29">
        <f t="shared" si="18"/>
        <v>60751.851247620223</v>
      </c>
      <c r="V63" s="29">
        <f t="shared" si="18"/>
        <v>66651.997988943345</v>
      </c>
      <c r="W63" s="29">
        <f t="shared" si="18"/>
        <v>73083.715485395092</v>
      </c>
      <c r="X63" s="29">
        <f t="shared" si="18"/>
        <v>80092.744144480719</v>
      </c>
      <c r="Y63" s="29">
        <f t="shared" si="18"/>
        <v>87728.639863394652</v>
      </c>
      <c r="Z63" s="29">
        <f t="shared" si="18"/>
        <v>96045.085251162018</v>
      </c>
      <c r="AA63" s="29">
        <f t="shared" si="18"/>
        <v>105100.22581044097</v>
      </c>
    </row>
    <row r="64" spans="2:27" outlineLevel="1" x14ac:dyDescent="0.45">
      <c r="C64" s="14" t="s">
        <v>250</v>
      </c>
      <c r="D64" s="25" t="s">
        <v>20</v>
      </c>
      <c r="E64" s="100">
        <v>0</v>
      </c>
      <c r="F64" s="100">
        <v>0</v>
      </c>
      <c r="G64" s="100">
        <v>0</v>
      </c>
      <c r="H64" s="29">
        <f t="shared" ref="H64:AA64" si="19">H54*H40</f>
        <v>10000</v>
      </c>
      <c r="I64" s="29">
        <f t="shared" si="19"/>
        <v>23982.578052631576</v>
      </c>
      <c r="J64" s="29">
        <f t="shared" si="19"/>
        <v>28111.35716052631</v>
      </c>
      <c r="K64" s="29">
        <f t="shared" si="19"/>
        <v>30690.177258848675</v>
      </c>
      <c r="L64" s="29">
        <f t="shared" si="19"/>
        <v>30399.350793074991</v>
      </c>
      <c r="M64" s="29">
        <f t="shared" si="19"/>
        <v>35017.464934831492</v>
      </c>
      <c r="N64" s="29">
        <f t="shared" si="19"/>
        <v>39185.785107896074</v>
      </c>
      <c r="O64" s="29">
        <f t="shared" si="19"/>
        <v>42790.699350270406</v>
      </c>
      <c r="P64" s="29">
        <f t="shared" si="19"/>
        <v>46240.181621703756</v>
      </c>
      <c r="Q64" s="29">
        <f t="shared" si="19"/>
        <v>49929.191904017687</v>
      </c>
      <c r="R64" s="29">
        <f t="shared" si="19"/>
        <v>53873.138515484869</v>
      </c>
      <c r="S64" s="29">
        <f t="shared" si="19"/>
        <v>58088.375818249129</v>
      </c>
      <c r="T64" s="29">
        <f t="shared" si="19"/>
        <v>62592.260507123632</v>
      </c>
      <c r="U64" s="29">
        <f t="shared" si="19"/>
        <v>67403.211172602227</v>
      </c>
      <c r="V64" s="29">
        <f t="shared" si="19"/>
        <v>72540.771325315232</v>
      </c>
      <c r="W64" s="29">
        <f t="shared" si="19"/>
        <v>78025.676079724901</v>
      </c>
      <c r="X64" s="29">
        <f t="shared" si="19"/>
        <v>83879.922706010373</v>
      </c>
      <c r="Y64" s="29">
        <f t="shared" si="19"/>
        <v>90126.84527086842</v>
      </c>
      <c r="Z64" s="29">
        <f t="shared" si="19"/>
        <v>96791.193600390558</v>
      </c>
      <c r="AA64" s="29">
        <f t="shared" si="19"/>
        <v>103899.21681130261</v>
      </c>
    </row>
    <row r="65" spans="2:27" outlineLevel="1" x14ac:dyDescent="0.45">
      <c r="C65" s="14" t="s">
        <v>237</v>
      </c>
      <c r="D65" s="126" t="s">
        <v>20</v>
      </c>
      <c r="E65" s="100">
        <v>2323</v>
      </c>
      <c r="F65" s="100">
        <v>1728</v>
      </c>
      <c r="G65" s="100">
        <v>1844</v>
      </c>
      <c r="H65" s="101">
        <f>H60*H57</f>
        <v>2295.3500518134715</v>
      </c>
      <c r="I65" s="101">
        <f t="shared" ref="I65:AA65" si="20">I60*I57</f>
        <v>2637.0100457862295</v>
      </c>
      <c r="J65" s="101">
        <f t="shared" si="20"/>
        <v>3013.3398677941027</v>
      </c>
      <c r="K65" s="101">
        <f t="shared" si="20"/>
        <v>3424.920357725528</v>
      </c>
      <c r="L65" s="101">
        <f t="shared" si="20"/>
        <v>3871.7861298512153</v>
      </c>
      <c r="M65" s="101">
        <f t="shared" si="20"/>
        <v>4353.3462329822951</v>
      </c>
      <c r="N65" s="101">
        <f t="shared" si="20"/>
        <v>4868.312120864668</v>
      </c>
      <c r="O65" s="101">
        <f t="shared" si="20"/>
        <v>5414.6365344813466</v>
      </c>
      <c r="P65" s="101">
        <f t="shared" si="20"/>
        <v>5989.4669481361516</v>
      </c>
      <c r="Q65" s="101">
        <f t="shared" si="20"/>
        <v>6589.1171149680531</v>
      </c>
      <c r="R65" s="101">
        <f t="shared" si="20"/>
        <v>7209.059948236446</v>
      </c>
      <c r="S65" s="101">
        <f t="shared" si="20"/>
        <v>7843.944484242852</v>
      </c>
      <c r="T65" s="101">
        <f t="shared" si="20"/>
        <v>8487.6389932952097</v>
      </c>
      <c r="U65" s="101">
        <f t="shared" si="20"/>
        <v>9133.3014502987426</v>
      </c>
      <c r="V65" s="101">
        <f t="shared" si="20"/>
        <v>9773.4775719538375</v>
      </c>
      <c r="W65" s="101">
        <f t="shared" si="20"/>
        <v>10400.225510432319</v>
      </c>
      <c r="X65" s="101">
        <f t="shared" si="20"/>
        <v>11005.265111636734</v>
      </c>
      <c r="Y65" s="101">
        <f t="shared" si="20"/>
        <v>11580.148456149755</v>
      </c>
      <c r="Z65" s="101">
        <f t="shared" si="20"/>
        <v>12116.447264955808</v>
      </c>
      <c r="AA65" s="101">
        <f t="shared" si="20"/>
        <v>12605.951734460024</v>
      </c>
    </row>
    <row r="66" spans="2:27" outlineLevel="1" x14ac:dyDescent="0.45">
      <c r="C66" s="84" t="s">
        <v>70</v>
      </c>
      <c r="D66" s="25" t="s">
        <v>20</v>
      </c>
      <c r="E66" s="127">
        <f>SUM(E63:E65)</f>
        <v>2961</v>
      </c>
      <c r="F66" s="127">
        <f t="shared" ref="F66:G66" si="21">SUM(F63:F65)</f>
        <v>2620</v>
      </c>
      <c r="G66" s="127">
        <f t="shared" si="21"/>
        <v>3201</v>
      </c>
      <c r="H66" s="127">
        <f t="shared" ref="H66:AA66" si="22">SUM(H63:H65)</f>
        <v>14496.591564540744</v>
      </c>
      <c r="I66" s="127">
        <f t="shared" si="22"/>
        <v>31674.530003253592</v>
      </c>
      <c r="J66" s="127">
        <f t="shared" si="22"/>
        <v>40758.7126806503</v>
      </c>
      <c r="K66" s="127">
        <f t="shared" si="22"/>
        <v>49891.798456530632</v>
      </c>
      <c r="L66" s="127">
        <f t="shared" si="22"/>
        <v>57300.691222631722</v>
      </c>
      <c r="M66" s="127">
        <f t="shared" si="22"/>
        <v>67225.302088566124</v>
      </c>
      <c r="N66" s="127">
        <f t="shared" si="22"/>
        <v>75224.260389964911</v>
      </c>
      <c r="O66" s="127">
        <f t="shared" si="22"/>
        <v>82570.297829210744</v>
      </c>
      <c r="P66" s="127">
        <f t="shared" si="22"/>
        <v>90085.941932280257</v>
      </c>
      <c r="Q66" s="127">
        <f t="shared" si="22"/>
        <v>98188.469087598816</v>
      </c>
      <c r="R66" s="127">
        <f t="shared" si="22"/>
        <v>106916.96073594356</v>
      </c>
      <c r="S66" s="127">
        <f t="shared" si="22"/>
        <v>116312.99901433002</v>
      </c>
      <c r="T66" s="127">
        <f t="shared" si="22"/>
        <v>126420.96174968385</v>
      </c>
      <c r="U66" s="127">
        <f t="shared" si="22"/>
        <v>137288.36387052119</v>
      </c>
      <c r="V66" s="127">
        <f t="shared" si="22"/>
        <v>148966.24688621244</v>
      </c>
      <c r="W66" s="127">
        <f t="shared" si="22"/>
        <v>161509.61707555232</v>
      </c>
      <c r="X66" s="127">
        <f t="shared" si="22"/>
        <v>174977.9319621278</v>
      </c>
      <c r="Y66" s="127">
        <f t="shared" si="22"/>
        <v>189435.63359041282</v>
      </c>
      <c r="Z66" s="127">
        <f t="shared" si="22"/>
        <v>204952.72611650839</v>
      </c>
      <c r="AA66" s="127">
        <f t="shared" si="22"/>
        <v>221605.39435620361</v>
      </c>
    </row>
    <row r="67" spans="2:27" outlineLevel="1" x14ac:dyDescent="0.45">
      <c r="C67" s="27" t="s">
        <v>13</v>
      </c>
      <c r="D67" s="25" t="s">
        <v>18</v>
      </c>
      <c r="E67" s="28"/>
      <c r="F67" s="28">
        <f>F66/E66-1</f>
        <v>-0.11516379601485982</v>
      </c>
      <c r="G67" s="28">
        <f t="shared" ref="G67:H67" si="23">G66/F66-1</f>
        <v>0.22175572519083975</v>
      </c>
      <c r="H67" s="28">
        <f t="shared" si="23"/>
        <v>3.5287696234116668</v>
      </c>
      <c r="I67" s="28">
        <f t="shared" ref="I67" si="24">I66/H66-1</f>
        <v>1.1849639525425264</v>
      </c>
      <c r="J67" s="28">
        <f t="shared" ref="J67" si="25">J66/I66-1</f>
        <v>0.28679771022533207</v>
      </c>
      <c r="K67" s="28">
        <f t="shared" ref="K67" si="26">K66/J66-1</f>
        <v>0.22407689485777493</v>
      </c>
      <c r="L67" s="28">
        <f t="shared" ref="L67" si="27">L66/K66-1</f>
        <v>0.14849921220130513</v>
      </c>
      <c r="M67" s="28">
        <f t="shared" ref="M67" si="28">M66/L66-1</f>
        <v>0.17320228873634491</v>
      </c>
      <c r="N67" s="28">
        <f t="shared" ref="N67" si="29">N66/M66-1</f>
        <v>0.11898731657405626</v>
      </c>
      <c r="O67" s="28">
        <f t="shared" ref="O67" si="30">O66/N66-1</f>
        <v>9.7655163389626543E-2</v>
      </c>
      <c r="P67" s="28">
        <f t="shared" ref="P67" si="31">P66/O66-1</f>
        <v>9.1021157736586478E-2</v>
      </c>
      <c r="Q67" s="28">
        <f t="shared" ref="Q67" si="32">Q66/P66-1</f>
        <v>8.9942192771980123E-2</v>
      </c>
      <c r="R67" s="28">
        <f t="shared" ref="R67" si="33">R66/Q66-1</f>
        <v>8.8895281996479891E-2</v>
      </c>
      <c r="S67" s="28">
        <f t="shared" ref="S67" si="34">S66/R66-1</f>
        <v>8.7881643975946666E-2</v>
      </c>
      <c r="T67" s="28">
        <f t="shared" ref="T67" si="35">T66/S66-1</f>
        <v>8.6903121929720939E-2</v>
      </c>
      <c r="U67" s="28">
        <f t="shared" ref="U67" si="36">U66/T66-1</f>
        <v>8.5962026948940951E-2</v>
      </c>
      <c r="V67" s="28">
        <f t="shared" ref="V67" si="37">V66/U66-1</f>
        <v>8.5060981764666144E-2</v>
      </c>
      <c r="W67" s="28">
        <f t="shared" ref="W67" si="38">W66/V66-1</f>
        <v>8.4202767079988972E-2</v>
      </c>
      <c r="X67" s="28">
        <f t="shared" ref="X67" si="39">X66/W66-1</f>
        <v>8.3390172860574374E-2</v>
      </c>
      <c r="Y67" s="28">
        <f t="shared" ref="Y67" si="40">Y66/X66-1</f>
        <v>8.2625857250468782E-2</v>
      </c>
      <c r="Z67" s="28">
        <f t="shared" ref="Z67" si="41">Z66/Y66-1</f>
        <v>8.1912215943731992E-2</v>
      </c>
      <c r="AA67" s="28">
        <f t="shared" ref="AA67" si="42">AA66/Z66-1</f>
        <v>8.1251264890366715E-2</v>
      </c>
    </row>
    <row r="68" spans="2:27" outlineLevel="1" x14ac:dyDescent="0.45">
      <c r="H68" s="28"/>
      <c r="I68" s="17"/>
      <c r="J68" s="17"/>
      <c r="K68" s="17"/>
      <c r="L68" s="17"/>
    </row>
    <row r="69" spans="2:27" outlineLevel="1" x14ac:dyDescent="0.45">
      <c r="C69" s="5" t="s">
        <v>87</v>
      </c>
      <c r="D69" s="25" t="s">
        <v>20</v>
      </c>
      <c r="E69" s="100">
        <v>-1655</v>
      </c>
      <c r="F69" s="100">
        <v>-1687</v>
      </c>
      <c r="G69" s="100">
        <v>-2178</v>
      </c>
      <c r="H69" s="101">
        <f>-H66*(1-H70)</f>
        <v>-7973.1253604974099</v>
      </c>
      <c r="I69" s="101">
        <f t="shared" ref="I69:AA69" si="43">-I66*(1-I70)</f>
        <v>-17004.221370167717</v>
      </c>
      <c r="J69" s="101">
        <f t="shared" si="43"/>
        <v>-21344.694272235287</v>
      </c>
      <c r="K69" s="101">
        <f t="shared" si="43"/>
        <v>-25471.076054123536</v>
      </c>
      <c r="L69" s="101">
        <f t="shared" si="43"/>
        <v>-28499.554318624723</v>
      </c>
      <c r="M69" s="101">
        <f t="shared" si="43"/>
        <v>-32551.19890604254</v>
      </c>
      <c r="N69" s="101">
        <f t="shared" si="43"/>
        <v>-35434.585815272942</v>
      </c>
      <c r="O69" s="101">
        <f t="shared" si="43"/>
        <v>-37808.504795480701</v>
      </c>
      <c r="P69" s="101">
        <f t="shared" si="43"/>
        <v>-40064.537333040418</v>
      </c>
      <c r="Q69" s="101">
        <f t="shared" si="43"/>
        <v>-42376.076132542628</v>
      </c>
      <c r="R69" s="101">
        <f t="shared" si="43"/>
        <v>-44736.307255302672</v>
      </c>
      <c r="S69" s="101">
        <f t="shared" si="43"/>
        <v>-47137.373284754765</v>
      </c>
      <c r="T69" s="101">
        <f t="shared" si="43"/>
        <v>-49570.324475533889</v>
      </c>
      <c r="U69" s="101">
        <f t="shared" si="43"/>
        <v>-52025.064203565875</v>
      </c>
      <c r="V69" s="101">
        <f t="shared" si="43"/>
        <v>-54490.285045219753</v>
      </c>
      <c r="W69" s="101">
        <f t="shared" si="43"/>
        <v>-56953.391284536796</v>
      </c>
      <c r="X69" s="101">
        <f t="shared" si="43"/>
        <v>-59400.403218722247</v>
      </c>
      <c r="Y69" s="101">
        <f t="shared" si="43"/>
        <v>-61815.838329503029</v>
      </c>
      <c r="Z69" s="101">
        <f t="shared" si="43"/>
        <v>-64182.564231222248</v>
      </c>
      <c r="AA69" s="101">
        <f t="shared" si="43"/>
        <v>-66481.618306860953</v>
      </c>
    </row>
    <row r="70" spans="2:27" outlineLevel="1" x14ac:dyDescent="0.45">
      <c r="C70" s="14" t="s">
        <v>88</v>
      </c>
      <c r="D70" s="25" t="s">
        <v>18</v>
      </c>
      <c r="E70" s="12">
        <f>(E66+E69)/E66</f>
        <v>0.44106720702465385</v>
      </c>
      <c r="F70" s="12">
        <f>(F66+F69)/F66</f>
        <v>0.35610687022900761</v>
      </c>
      <c r="G70" s="12">
        <f>(G66+G69)/G66</f>
        <v>0.31958762886597936</v>
      </c>
      <c r="H70" s="275">
        <f>Control!$E$79</f>
        <v>0.45</v>
      </c>
      <c r="I70" s="218">
        <f>(Control!$E$80-Control!$E$79)/($E$10-1)+H70</f>
        <v>0.4631578947368421</v>
      </c>
      <c r="J70" s="218">
        <f>(Control!$E$80-Control!$E$79)/($E$10-1)+I70</f>
        <v>0.47631578947368419</v>
      </c>
      <c r="K70" s="218">
        <f>(Control!$E$80-Control!$E$79)/($E$10-1)+J70</f>
        <v>0.48947368421052628</v>
      </c>
      <c r="L70" s="218">
        <f>(Control!$E$80-Control!$E$79)/($E$10-1)+K70</f>
        <v>0.50263157894736843</v>
      </c>
      <c r="M70" s="218">
        <f>(Control!$E$80-Control!$E$79)/($E$10-1)+L70</f>
        <v>0.51578947368421058</v>
      </c>
      <c r="N70" s="218">
        <f>(Control!$E$80-Control!$E$79)/($E$10-1)+M70</f>
        <v>0.52894736842105272</v>
      </c>
      <c r="O70" s="218">
        <f>(Control!$E$80-Control!$E$79)/($E$10-1)+N70</f>
        <v>0.54210526315789487</v>
      </c>
      <c r="P70" s="218">
        <f>(Control!$E$80-Control!$E$79)/($E$10-1)+O70</f>
        <v>0.55526315789473701</v>
      </c>
      <c r="Q70" s="218">
        <f>(Control!$E$80-Control!$E$79)/($E$10-1)+P70</f>
        <v>0.56842105263157916</v>
      </c>
      <c r="R70" s="218">
        <f>(Control!$E$80-Control!$E$79)/($E$10-1)+Q70</f>
        <v>0.58157894736842131</v>
      </c>
      <c r="S70" s="218">
        <f>(Control!$E$80-Control!$E$79)/($E$10-1)+R70</f>
        <v>0.59473684210526345</v>
      </c>
      <c r="T70" s="218">
        <f>(Control!$E$80-Control!$E$79)/($E$10-1)+S70</f>
        <v>0.6078947368421056</v>
      </c>
      <c r="U70" s="218">
        <f>(Control!$E$80-Control!$E$79)/($E$10-1)+T70</f>
        <v>0.62105263157894774</v>
      </c>
      <c r="V70" s="218">
        <f>(Control!$E$80-Control!$E$79)/($E$10-1)+U70</f>
        <v>0.63421052631578989</v>
      </c>
      <c r="W70" s="218">
        <f>(Control!$E$80-Control!$E$79)/($E$10-1)+V70</f>
        <v>0.64736842105263204</v>
      </c>
      <c r="X70" s="218">
        <f>(Control!$E$80-Control!$E$79)/($E$10-1)+W70</f>
        <v>0.66052631578947418</v>
      </c>
      <c r="Y70" s="218">
        <f>(Control!$E$80-Control!$E$79)/($E$10-1)+X70</f>
        <v>0.67368421052631633</v>
      </c>
      <c r="Z70" s="218">
        <f>(Control!$E$80-Control!$E$79)/($E$10-1)+Y70</f>
        <v>0.68684210526315848</v>
      </c>
      <c r="AA70" s="218">
        <f>(Control!$E$80-Control!$E$79)/($E$10-1)+Z70</f>
        <v>0.70000000000000062</v>
      </c>
    </row>
    <row r="71" spans="2:27" outlineLevel="1" x14ac:dyDescent="0.45">
      <c r="F71" s="37"/>
      <c r="G71" s="37"/>
      <c r="H71" s="17"/>
      <c r="I71" s="17"/>
      <c r="J71" s="17"/>
      <c r="K71" s="17"/>
      <c r="L71" s="17"/>
    </row>
    <row r="72" spans="2:27" outlineLevel="1" x14ac:dyDescent="0.45">
      <c r="C72" s="5" t="s">
        <v>89</v>
      </c>
      <c r="D72" s="25" t="s">
        <v>20</v>
      </c>
      <c r="E72" s="101">
        <f>-186-1081</f>
        <v>-1267</v>
      </c>
      <c r="F72" s="101">
        <f>-1176-1105</f>
        <v>-2281</v>
      </c>
      <c r="G72" s="101">
        <f>-5064-1827</f>
        <v>-6891</v>
      </c>
      <c r="H72" s="101">
        <f>-H73*H66</f>
        <v>-14496.591564540744</v>
      </c>
      <c r="I72" s="101">
        <f t="shared" ref="I72:AA72" si="44">-I73*I66</f>
        <v>-26923.350502765552</v>
      </c>
      <c r="J72" s="101">
        <f t="shared" si="44"/>
        <v>-28531.098876455209</v>
      </c>
      <c r="K72" s="101">
        <f t="shared" si="44"/>
        <v>-27440.489151091846</v>
      </c>
      <c r="L72" s="101">
        <f t="shared" si="44"/>
        <v>-22920.276489052685</v>
      </c>
      <c r="M72" s="101">
        <f t="shared" si="44"/>
        <v>-16806.325522141524</v>
      </c>
      <c r="N72" s="101">
        <f t="shared" si="44"/>
        <v>-7522.4260389964911</v>
      </c>
      <c r="O72" s="101">
        <f t="shared" si="44"/>
        <v>-8257.029782921074</v>
      </c>
      <c r="P72" s="101">
        <f t="shared" si="44"/>
        <v>-9008.5941932280257</v>
      </c>
      <c r="Q72" s="101">
        <f t="shared" si="44"/>
        <v>-9818.8469087598824</v>
      </c>
      <c r="R72" s="101">
        <f t="shared" si="44"/>
        <v>-10691.696073594358</v>
      </c>
      <c r="S72" s="101">
        <f t="shared" si="44"/>
        <v>-11631.299901433003</v>
      </c>
      <c r="T72" s="101">
        <f t="shared" si="44"/>
        <v>-12642.096174968385</v>
      </c>
      <c r="U72" s="101">
        <f t="shared" si="44"/>
        <v>-13728.836387052121</v>
      </c>
      <c r="V72" s="101">
        <f t="shared" si="44"/>
        <v>-14896.624688621245</v>
      </c>
      <c r="W72" s="101">
        <f t="shared" si="44"/>
        <v>-16150.961707555232</v>
      </c>
      <c r="X72" s="101">
        <f t="shared" si="44"/>
        <v>-17497.79319621278</v>
      </c>
      <c r="Y72" s="101">
        <f t="shared" si="44"/>
        <v>-18943.563359041284</v>
      </c>
      <c r="Z72" s="101">
        <f t="shared" si="44"/>
        <v>-20495.272611650842</v>
      </c>
      <c r="AA72" s="101">
        <f t="shared" si="44"/>
        <v>-22160.539435620361</v>
      </c>
    </row>
    <row r="73" spans="2:27" outlineLevel="1" x14ac:dyDescent="0.45">
      <c r="C73" s="14" t="s">
        <v>90</v>
      </c>
      <c r="D73" s="25" t="s">
        <v>18</v>
      </c>
      <c r="E73" s="12">
        <f>-E72/E66</f>
        <v>0.42789598108747046</v>
      </c>
      <c r="F73" s="12">
        <f t="shared" ref="F73:G73" si="45">-F72/F66</f>
        <v>0.87061068702290079</v>
      </c>
      <c r="G73" s="12">
        <f t="shared" si="45"/>
        <v>2.1527647610121838</v>
      </c>
      <c r="H73" s="275">
        <f>Control!$E$82</f>
        <v>1</v>
      </c>
      <c r="I73" s="218">
        <f>MAX(H73+Control!$E$83,Control!$E$84)</f>
        <v>0.85</v>
      </c>
      <c r="J73" s="218">
        <f>MAX(I73+Control!$E$83,Control!$E$84)</f>
        <v>0.7</v>
      </c>
      <c r="K73" s="218">
        <f>MAX(J73+Control!$E$83,Control!$E$84)</f>
        <v>0.54999999999999993</v>
      </c>
      <c r="L73" s="218">
        <f>MAX(K73+Control!$E$83,Control!$E$84)</f>
        <v>0.39999999999999991</v>
      </c>
      <c r="M73" s="218">
        <f>MAX(L73+Control!$E$83,Control!$E$84)</f>
        <v>0.24999999999999992</v>
      </c>
      <c r="N73" s="218">
        <f>MAX(M73+Control!$E$83,Control!$E$84)</f>
        <v>0.1</v>
      </c>
      <c r="O73" s="218">
        <f>MAX(N73+Control!$E$83,Control!$E$84)</f>
        <v>0.1</v>
      </c>
      <c r="P73" s="218">
        <f>MAX(O73+Control!$E$83,Control!$E$84)</f>
        <v>0.1</v>
      </c>
      <c r="Q73" s="218">
        <f>MAX(P73+Control!$E$83,Control!$E$84)</f>
        <v>0.1</v>
      </c>
      <c r="R73" s="218">
        <f>MAX(Q73+Control!$E$83,Control!$E$84)</f>
        <v>0.1</v>
      </c>
      <c r="S73" s="218">
        <f>MAX(R73+Control!$E$83,Control!$E$84)</f>
        <v>0.1</v>
      </c>
      <c r="T73" s="218">
        <f>MAX(S73+Control!$E$83,Control!$E$84)</f>
        <v>0.1</v>
      </c>
      <c r="U73" s="218">
        <f>MAX(T73+Control!$E$83,Control!$E$84)</f>
        <v>0.1</v>
      </c>
      <c r="V73" s="218">
        <f>MAX(U73+Control!$E$83,Control!$E$84)</f>
        <v>0.1</v>
      </c>
      <c r="W73" s="218">
        <f>MAX(V73+Control!$E$83,Control!$E$84)</f>
        <v>0.1</v>
      </c>
      <c r="X73" s="218">
        <f>MAX(W73+Control!$E$83,Control!$E$84)</f>
        <v>0.1</v>
      </c>
      <c r="Y73" s="218">
        <f>MAX(X73+Control!$E$83,Control!$E$84)</f>
        <v>0.1</v>
      </c>
      <c r="Z73" s="218">
        <f>MAX(Y73+Control!$E$83,Control!$E$84)</f>
        <v>0.1</v>
      </c>
      <c r="AA73" s="218">
        <f>MAX(Z73+Control!$E$83,Control!$E$84)</f>
        <v>0.1</v>
      </c>
    </row>
    <row r="74" spans="2:27" outlineLevel="1" x14ac:dyDescent="0.45">
      <c r="H74" s="17"/>
      <c r="I74" s="17"/>
      <c r="J74" s="17"/>
      <c r="K74" s="17"/>
      <c r="L74" s="17"/>
      <c r="M74" s="17"/>
      <c r="N74" s="17"/>
      <c r="O74" s="17"/>
    </row>
    <row r="75" spans="2:27" outlineLevel="1" x14ac:dyDescent="0.45">
      <c r="C75" s="5" t="s">
        <v>94</v>
      </c>
      <c r="D75" s="25" t="s">
        <v>20</v>
      </c>
      <c r="E75" s="101">
        <f>Control!E169*E66/Control!E138</f>
        <v>571.84615384615381</v>
      </c>
      <c r="F75" s="101">
        <f>Control!F169*F66/Control!F138</f>
        <v>312.75490545843741</v>
      </c>
      <c r="G75" s="101">
        <f>Control!G169*G66/Control!G138</f>
        <v>358.08551997429583</v>
      </c>
      <c r="H75" s="101">
        <f t="shared" ref="H75:AA75" si="46">(H66-G66)*H76</f>
        <v>-1694.3387346811116</v>
      </c>
      <c r="I75" s="101">
        <f t="shared" si="46"/>
        <v>-1717.7938438712849</v>
      </c>
      <c r="J75" s="101">
        <f t="shared" si="46"/>
        <v>-454.2091338698354</v>
      </c>
      <c r="K75" s="101">
        <f t="shared" si="46"/>
        <v>-456.65428879401662</v>
      </c>
      <c r="L75" s="101">
        <f t="shared" si="46"/>
        <v>-370.44463830505447</v>
      </c>
      <c r="M75" s="101">
        <f t="shared" si="46"/>
        <v>-496.23054329672016</v>
      </c>
      <c r="N75" s="101">
        <f t="shared" si="46"/>
        <v>-399.94791506993937</v>
      </c>
      <c r="O75" s="101">
        <f t="shared" si="46"/>
        <v>-367.30187196229167</v>
      </c>
      <c r="P75" s="101">
        <f t="shared" si="46"/>
        <v>-375.78220515347567</v>
      </c>
      <c r="Q75" s="101">
        <f t="shared" si="46"/>
        <v>-405.12635776592799</v>
      </c>
      <c r="R75" s="101">
        <f t="shared" si="46"/>
        <v>-436.42458241723727</v>
      </c>
      <c r="S75" s="101">
        <f t="shared" si="46"/>
        <v>-469.80191391932317</v>
      </c>
      <c r="T75" s="101">
        <f t="shared" si="46"/>
        <v>-505.3981367676912</v>
      </c>
      <c r="U75" s="101">
        <f t="shared" si="46"/>
        <v>-543.3701060418673</v>
      </c>
      <c r="V75" s="101">
        <f t="shared" si="46"/>
        <v>-583.89415078456227</v>
      </c>
      <c r="W75" s="101">
        <f t="shared" si="46"/>
        <v>-627.16850946699424</v>
      </c>
      <c r="X75" s="101">
        <f t="shared" si="46"/>
        <v>-673.41574432877394</v>
      </c>
      <c r="Y75" s="101">
        <f t="shared" si="46"/>
        <v>-722.8850814142512</v>
      </c>
      <c r="Z75" s="101">
        <f t="shared" si="46"/>
        <v>-775.85462630477855</v>
      </c>
      <c r="AA75" s="101">
        <f t="shared" si="46"/>
        <v>-832.63341198476121</v>
      </c>
    </row>
    <row r="76" spans="2:27" outlineLevel="1" x14ac:dyDescent="0.45">
      <c r="C76" s="14" t="s">
        <v>95</v>
      </c>
      <c r="D76" s="25" t="s">
        <v>18</v>
      </c>
      <c r="E76" s="12"/>
      <c r="F76" s="12">
        <f>F75/(F66-E66)</f>
        <v>-0.91716981072855541</v>
      </c>
      <c r="G76" s="12">
        <f>G75/(G66-F66)</f>
        <v>0.61632619616918383</v>
      </c>
      <c r="H76" s="38">
        <v>-0.15</v>
      </c>
      <c r="I76" s="38">
        <v>-0.1</v>
      </c>
      <c r="J76" s="38">
        <v>-0.05</v>
      </c>
      <c r="K76" s="137">
        <f>J76</f>
        <v>-0.05</v>
      </c>
      <c r="L76" s="137">
        <f t="shared" ref="L76:AA76" si="47">K76</f>
        <v>-0.05</v>
      </c>
      <c r="M76" s="137">
        <f t="shared" si="47"/>
        <v>-0.05</v>
      </c>
      <c r="N76" s="137">
        <f t="shared" si="47"/>
        <v>-0.05</v>
      </c>
      <c r="O76" s="137">
        <f t="shared" si="47"/>
        <v>-0.05</v>
      </c>
      <c r="P76" s="137">
        <f t="shared" si="47"/>
        <v>-0.05</v>
      </c>
      <c r="Q76" s="137">
        <f t="shared" si="47"/>
        <v>-0.05</v>
      </c>
      <c r="R76" s="137">
        <f t="shared" si="47"/>
        <v>-0.05</v>
      </c>
      <c r="S76" s="137">
        <f t="shared" si="47"/>
        <v>-0.05</v>
      </c>
      <c r="T76" s="137">
        <f t="shared" si="47"/>
        <v>-0.05</v>
      </c>
      <c r="U76" s="137">
        <f t="shared" si="47"/>
        <v>-0.05</v>
      </c>
      <c r="V76" s="137">
        <f t="shared" si="47"/>
        <v>-0.05</v>
      </c>
      <c r="W76" s="137">
        <f t="shared" si="47"/>
        <v>-0.05</v>
      </c>
      <c r="X76" s="137">
        <f t="shared" si="47"/>
        <v>-0.05</v>
      </c>
      <c r="Y76" s="137">
        <f t="shared" si="47"/>
        <v>-0.05</v>
      </c>
      <c r="Z76" s="137">
        <f t="shared" si="47"/>
        <v>-0.05</v>
      </c>
      <c r="AA76" s="137">
        <f t="shared" si="47"/>
        <v>-0.05</v>
      </c>
    </row>
    <row r="77" spans="2:27" x14ac:dyDescent="0.45">
      <c r="G77" s="12"/>
      <c r="H77" s="17"/>
      <c r="I77" s="17"/>
      <c r="J77" s="17"/>
      <c r="K77" s="17"/>
      <c r="L77" s="17"/>
    </row>
    <row r="78" spans="2:27" x14ac:dyDescent="0.45">
      <c r="B78" s="7"/>
      <c r="C78" s="7"/>
      <c r="D78" s="7"/>
      <c r="E78" s="21" t="str">
        <f>Control!$E$131</f>
        <v>Historical:</v>
      </c>
      <c r="F78" s="21"/>
      <c r="G78" s="22"/>
      <c r="H78" s="21" t="str">
        <f>Control!$H$131</f>
        <v>Projected:</v>
      </c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</row>
    <row r="79" spans="2:27" x14ac:dyDescent="0.45">
      <c r="B79" s="8" t="str">
        <f>Div_2&amp;" - Free Cash Flow Projections:"</f>
        <v>AI - Free Cash Flow Projections:</v>
      </c>
      <c r="C79" s="8"/>
      <c r="D79" s="24" t="str">
        <f>Control!$D$132</f>
        <v>Units:</v>
      </c>
      <c r="E79" s="2">
        <f>Control!$E$132</f>
        <v>45291</v>
      </c>
      <c r="F79" s="2">
        <f>Control!$F$132</f>
        <v>45657</v>
      </c>
      <c r="G79" s="3">
        <f>Control!$G$132</f>
        <v>46022</v>
      </c>
      <c r="H79" s="2">
        <f>Control!$H$132</f>
        <v>46387</v>
      </c>
      <c r="I79" s="4">
        <f>Control!$I$132</f>
        <v>46752</v>
      </c>
      <c r="J79" s="4">
        <f>Control!$J$132</f>
        <v>47118</v>
      </c>
      <c r="K79" s="4">
        <f>Control!$K$132</f>
        <v>47483</v>
      </c>
      <c r="L79" s="4">
        <f>Control!$L$132</f>
        <v>47848</v>
      </c>
      <c r="M79" s="4">
        <f>Control!$M$132</f>
        <v>48213</v>
      </c>
      <c r="N79" s="4">
        <f>Control!$N$132</f>
        <v>48579</v>
      </c>
      <c r="O79" s="4">
        <f>Control!$O$132</f>
        <v>48944</v>
      </c>
      <c r="P79" s="4">
        <f>Control!$P$132</f>
        <v>49309</v>
      </c>
      <c r="Q79" s="4">
        <f>Control!$Q$132</f>
        <v>49674</v>
      </c>
      <c r="R79" s="4">
        <f>Control!$R$132</f>
        <v>50040</v>
      </c>
      <c r="S79" s="4">
        <f>Control!$S$132</f>
        <v>50405</v>
      </c>
      <c r="T79" s="4">
        <f>Control!$T$132</f>
        <v>50770</v>
      </c>
      <c r="U79" s="4">
        <f>Control!$U$132</f>
        <v>51135</v>
      </c>
      <c r="V79" s="4">
        <f>Control!$V$132</f>
        <v>51501</v>
      </c>
      <c r="W79" s="4">
        <f>Control!$W$132</f>
        <v>51866</v>
      </c>
      <c r="X79" s="4">
        <f>Control!$X$132</f>
        <v>52231</v>
      </c>
      <c r="Y79" s="4">
        <f>Control!$Y$132</f>
        <v>52596</v>
      </c>
      <c r="Z79" s="4">
        <f>Control!$Z$132</f>
        <v>52962</v>
      </c>
      <c r="AA79" s="4">
        <f>Control!$AA$132</f>
        <v>53327</v>
      </c>
    </row>
    <row r="80" spans="2:27" outlineLevel="1" x14ac:dyDescent="0.45">
      <c r="C80" s="17" t="s">
        <v>91</v>
      </c>
      <c r="D80" s="25" t="s">
        <v>20</v>
      </c>
      <c r="E80" s="122">
        <f t="shared" ref="E80:AA80" si="48">E66</f>
        <v>2961</v>
      </c>
      <c r="F80" s="122">
        <f t="shared" si="48"/>
        <v>2620</v>
      </c>
      <c r="G80" s="122">
        <f t="shared" si="48"/>
        <v>3201</v>
      </c>
      <c r="H80" s="122">
        <f t="shared" si="48"/>
        <v>14496.591564540744</v>
      </c>
      <c r="I80" s="122">
        <f t="shared" si="48"/>
        <v>31674.530003253592</v>
      </c>
      <c r="J80" s="122">
        <f t="shared" si="48"/>
        <v>40758.7126806503</v>
      </c>
      <c r="K80" s="122">
        <f t="shared" si="48"/>
        <v>49891.798456530632</v>
      </c>
      <c r="L80" s="122">
        <f t="shared" si="48"/>
        <v>57300.691222631722</v>
      </c>
      <c r="M80" s="122">
        <f t="shared" si="48"/>
        <v>67225.302088566124</v>
      </c>
      <c r="N80" s="122">
        <f t="shared" si="48"/>
        <v>75224.260389964911</v>
      </c>
      <c r="O80" s="122">
        <f t="shared" si="48"/>
        <v>82570.297829210744</v>
      </c>
      <c r="P80" s="122">
        <f t="shared" si="48"/>
        <v>90085.941932280257</v>
      </c>
      <c r="Q80" s="122">
        <f t="shared" si="48"/>
        <v>98188.469087598816</v>
      </c>
      <c r="R80" s="122">
        <f t="shared" si="48"/>
        <v>106916.96073594356</v>
      </c>
      <c r="S80" s="122">
        <f t="shared" si="48"/>
        <v>116312.99901433002</v>
      </c>
      <c r="T80" s="122">
        <f t="shared" si="48"/>
        <v>126420.96174968385</v>
      </c>
      <c r="U80" s="122">
        <f t="shared" si="48"/>
        <v>137288.36387052119</v>
      </c>
      <c r="V80" s="122">
        <f t="shared" si="48"/>
        <v>148966.24688621244</v>
      </c>
      <c r="W80" s="122">
        <f t="shared" si="48"/>
        <v>161509.61707555232</v>
      </c>
      <c r="X80" s="122">
        <f t="shared" si="48"/>
        <v>174977.9319621278</v>
      </c>
      <c r="Y80" s="122">
        <f t="shared" si="48"/>
        <v>189435.63359041282</v>
      </c>
      <c r="Z80" s="122">
        <f t="shared" si="48"/>
        <v>204952.72611650839</v>
      </c>
      <c r="AA80" s="122">
        <f t="shared" si="48"/>
        <v>221605.39435620361</v>
      </c>
    </row>
    <row r="81" spans="3:27" outlineLevel="1" x14ac:dyDescent="0.45">
      <c r="C81" s="27" t="s">
        <v>23</v>
      </c>
      <c r="D81" s="25" t="s">
        <v>18</v>
      </c>
      <c r="F81" s="28">
        <f>F80/E80-1</f>
        <v>-0.11516379601485982</v>
      </c>
      <c r="G81" s="28">
        <f>G80/F80-1</f>
        <v>0.22175572519083975</v>
      </c>
      <c r="H81" s="28">
        <f t="shared" ref="H81:AA81" si="49">H80/G80-1</f>
        <v>3.5287696234116668</v>
      </c>
      <c r="I81" s="28">
        <f t="shared" si="49"/>
        <v>1.1849639525425264</v>
      </c>
      <c r="J81" s="28">
        <f t="shared" si="49"/>
        <v>0.28679771022533207</v>
      </c>
      <c r="K81" s="28">
        <f t="shared" si="49"/>
        <v>0.22407689485777493</v>
      </c>
      <c r="L81" s="28">
        <f t="shared" si="49"/>
        <v>0.14849921220130513</v>
      </c>
      <c r="M81" s="28">
        <f t="shared" si="49"/>
        <v>0.17320228873634491</v>
      </c>
      <c r="N81" s="28">
        <f t="shared" si="49"/>
        <v>0.11898731657405626</v>
      </c>
      <c r="O81" s="28">
        <f t="shared" si="49"/>
        <v>9.7655163389626543E-2</v>
      </c>
      <c r="P81" s="28">
        <f t="shared" si="49"/>
        <v>9.1021157736586478E-2</v>
      </c>
      <c r="Q81" s="28">
        <f t="shared" si="49"/>
        <v>8.9942192771980123E-2</v>
      </c>
      <c r="R81" s="28">
        <f t="shared" si="49"/>
        <v>8.8895281996479891E-2</v>
      </c>
      <c r="S81" s="28">
        <f t="shared" si="49"/>
        <v>8.7881643975946666E-2</v>
      </c>
      <c r="T81" s="28">
        <f t="shared" si="49"/>
        <v>8.6903121929720939E-2</v>
      </c>
      <c r="U81" s="28">
        <f t="shared" si="49"/>
        <v>8.5962026948940951E-2</v>
      </c>
      <c r="V81" s="28">
        <f t="shared" si="49"/>
        <v>8.5060981764666144E-2</v>
      </c>
      <c r="W81" s="28">
        <f t="shared" si="49"/>
        <v>8.4202767079988972E-2</v>
      </c>
      <c r="X81" s="28">
        <f t="shared" si="49"/>
        <v>8.3390172860574374E-2</v>
      </c>
      <c r="Y81" s="28">
        <f t="shared" si="49"/>
        <v>8.2625857250468782E-2</v>
      </c>
      <c r="Z81" s="28">
        <f t="shared" si="49"/>
        <v>8.1912215943731992E-2</v>
      </c>
      <c r="AA81" s="28">
        <f t="shared" si="49"/>
        <v>8.1251264890366715E-2</v>
      </c>
    </row>
    <row r="82" spans="3:27" outlineLevel="1" x14ac:dyDescent="0.45"/>
    <row r="83" spans="3:27" outlineLevel="1" x14ac:dyDescent="0.45">
      <c r="C83" s="17" t="s">
        <v>92</v>
      </c>
      <c r="D83" s="26" t="s">
        <v>20</v>
      </c>
      <c r="E83" s="102">
        <f t="shared" ref="E83:AA83" si="50">E66+E69+E72</f>
        <v>39</v>
      </c>
      <c r="F83" s="102">
        <f t="shared" si="50"/>
        <v>-1348</v>
      </c>
      <c r="G83" s="102">
        <f t="shared" si="50"/>
        <v>-5868</v>
      </c>
      <c r="H83" s="102">
        <f t="shared" si="50"/>
        <v>-7973.1253604974099</v>
      </c>
      <c r="I83" s="102">
        <f t="shared" si="50"/>
        <v>-12253.041869679677</v>
      </c>
      <c r="J83" s="102">
        <f t="shared" si="50"/>
        <v>-9117.0804680401961</v>
      </c>
      <c r="K83" s="102">
        <f t="shared" si="50"/>
        <v>-3019.7667486847495</v>
      </c>
      <c r="L83" s="102">
        <f t="shared" si="50"/>
        <v>5880.8604149543135</v>
      </c>
      <c r="M83" s="102">
        <f t="shared" si="50"/>
        <v>17867.77766038206</v>
      </c>
      <c r="N83" s="102">
        <f t="shared" si="50"/>
        <v>32267.248535695478</v>
      </c>
      <c r="O83" s="102">
        <f t="shared" si="50"/>
        <v>36504.763250808966</v>
      </c>
      <c r="P83" s="102">
        <f t="shared" si="50"/>
        <v>41012.810406011813</v>
      </c>
      <c r="Q83" s="102">
        <f t="shared" si="50"/>
        <v>45993.546046296309</v>
      </c>
      <c r="R83" s="102">
        <f t="shared" si="50"/>
        <v>51488.957407046531</v>
      </c>
      <c r="S83" s="102">
        <f t="shared" si="50"/>
        <v>57544.325828142253</v>
      </c>
      <c r="T83" s="102">
        <f t="shared" si="50"/>
        <v>64208.541099181566</v>
      </c>
      <c r="U83" s="102">
        <f t="shared" si="50"/>
        <v>71534.463279903197</v>
      </c>
      <c r="V83" s="102">
        <f t="shared" si="50"/>
        <v>79579.33715237143</v>
      </c>
      <c r="W83" s="102">
        <f t="shared" si="50"/>
        <v>88405.264083460279</v>
      </c>
      <c r="X83" s="102">
        <f t="shared" si="50"/>
        <v>98079.735547192773</v>
      </c>
      <c r="Y83" s="102">
        <f t="shared" si="50"/>
        <v>108676.23190186851</v>
      </c>
      <c r="Z83" s="102">
        <f t="shared" si="50"/>
        <v>120274.88927363532</v>
      </c>
      <c r="AA83" s="102">
        <f t="shared" si="50"/>
        <v>132963.23661372229</v>
      </c>
    </row>
    <row r="84" spans="3:27" outlineLevel="1" x14ac:dyDescent="0.45">
      <c r="C84" s="27" t="s">
        <v>93</v>
      </c>
      <c r="D84" s="25" t="s">
        <v>18</v>
      </c>
      <c r="E84" s="28">
        <f>E83/E80</f>
        <v>1.3171225937183385E-2</v>
      </c>
      <c r="F84" s="28">
        <f t="shared" ref="F84:AA84" si="51">F83/F80</f>
        <v>-0.51450381679389312</v>
      </c>
      <c r="G84" s="28">
        <f t="shared" si="51"/>
        <v>-1.8331771321462043</v>
      </c>
      <c r="H84" s="28">
        <f t="shared" si="51"/>
        <v>-0.55000000000000004</v>
      </c>
      <c r="I84" s="28">
        <f t="shared" si="51"/>
        <v>-0.38684210526315782</v>
      </c>
      <c r="J84" s="28">
        <f t="shared" si="51"/>
        <v>-0.22368421052631574</v>
      </c>
      <c r="K84" s="28">
        <f t="shared" si="51"/>
        <v>-6.0526315789473699E-2</v>
      </c>
      <c r="L84" s="28">
        <f t="shared" si="51"/>
        <v>0.10263157894736852</v>
      </c>
      <c r="M84" s="28">
        <f t="shared" si="51"/>
        <v>0.26578947368421069</v>
      </c>
      <c r="N84" s="28">
        <f t="shared" si="51"/>
        <v>0.42894736842105269</v>
      </c>
      <c r="O84" s="28">
        <f t="shared" si="51"/>
        <v>0.44210526315789483</v>
      </c>
      <c r="P84" s="28">
        <f t="shared" si="51"/>
        <v>0.45526315789473698</v>
      </c>
      <c r="Q84" s="28">
        <f t="shared" si="51"/>
        <v>0.46842105263157918</v>
      </c>
      <c r="R84" s="28">
        <f t="shared" si="51"/>
        <v>0.48157894736842133</v>
      </c>
      <c r="S84" s="28">
        <f t="shared" si="51"/>
        <v>0.49473684210526342</v>
      </c>
      <c r="T84" s="28">
        <f t="shared" si="51"/>
        <v>0.50789473684210551</v>
      </c>
      <c r="U84" s="28">
        <f t="shared" si="51"/>
        <v>0.52105263157894777</v>
      </c>
      <c r="V84" s="28">
        <f t="shared" si="51"/>
        <v>0.5342105263157898</v>
      </c>
      <c r="W84" s="28">
        <f t="shared" si="51"/>
        <v>0.54736842105263195</v>
      </c>
      <c r="X84" s="28">
        <f t="shared" si="51"/>
        <v>0.56052631578947421</v>
      </c>
      <c r="Y84" s="28">
        <f t="shared" si="51"/>
        <v>0.57368421052631635</v>
      </c>
      <c r="Z84" s="28">
        <f t="shared" si="51"/>
        <v>0.5868421052631585</v>
      </c>
      <c r="AA84" s="28">
        <f t="shared" si="51"/>
        <v>0.60000000000000053</v>
      </c>
    </row>
    <row r="85" spans="3:27" outlineLevel="1" x14ac:dyDescent="0.45">
      <c r="C85" s="14"/>
      <c r="H85" s="101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</row>
    <row r="86" spans="3:27" outlineLevel="1" x14ac:dyDescent="0.45">
      <c r="C86" s="14" t="s">
        <v>21</v>
      </c>
      <c r="D86" s="26" t="s">
        <v>20</v>
      </c>
      <c r="E86" s="101">
        <f t="shared" ref="E86:AA86" si="52">-MAX(0,E83)*Tax_Rate</f>
        <v>-9.75</v>
      </c>
      <c r="F86" s="101">
        <f t="shared" si="52"/>
        <v>0</v>
      </c>
      <c r="G86" s="101">
        <f t="shared" si="52"/>
        <v>0</v>
      </c>
      <c r="H86" s="101">
        <f t="shared" si="52"/>
        <v>0</v>
      </c>
      <c r="I86" s="101">
        <f t="shared" si="52"/>
        <v>0</v>
      </c>
      <c r="J86" s="101">
        <f t="shared" si="52"/>
        <v>0</v>
      </c>
      <c r="K86" s="101">
        <f t="shared" si="52"/>
        <v>0</v>
      </c>
      <c r="L86" s="101">
        <f t="shared" si="52"/>
        <v>-1470.2151037385784</v>
      </c>
      <c r="M86" s="101">
        <f t="shared" si="52"/>
        <v>-4466.9444150955151</v>
      </c>
      <c r="N86" s="101">
        <f t="shared" si="52"/>
        <v>-8066.8121339238696</v>
      </c>
      <c r="O86" s="101">
        <f t="shared" si="52"/>
        <v>-9126.1908127022416</v>
      </c>
      <c r="P86" s="101">
        <f t="shared" si="52"/>
        <v>-10253.202601502953</v>
      </c>
      <c r="Q86" s="101">
        <f t="shared" si="52"/>
        <v>-11498.386511574077</v>
      </c>
      <c r="R86" s="101">
        <f t="shared" si="52"/>
        <v>-12872.239351761633</v>
      </c>
      <c r="S86" s="101">
        <f t="shared" si="52"/>
        <v>-14386.081457035563</v>
      </c>
      <c r="T86" s="101">
        <f t="shared" si="52"/>
        <v>-16052.135274795392</v>
      </c>
      <c r="U86" s="101">
        <f t="shared" si="52"/>
        <v>-17883.615819975799</v>
      </c>
      <c r="V86" s="101">
        <f t="shared" si="52"/>
        <v>-19894.834288092858</v>
      </c>
      <c r="W86" s="101">
        <f t="shared" si="52"/>
        <v>-22101.31602086507</v>
      </c>
      <c r="X86" s="101">
        <f t="shared" si="52"/>
        <v>-24519.933886798193</v>
      </c>
      <c r="Y86" s="101">
        <f t="shared" si="52"/>
        <v>-27169.057975467127</v>
      </c>
      <c r="Z86" s="101">
        <f t="shared" si="52"/>
        <v>-30068.722318408829</v>
      </c>
      <c r="AA86" s="101">
        <f t="shared" si="52"/>
        <v>-33240.809153430571</v>
      </c>
    </row>
    <row r="87" spans="3:27" outlineLevel="1" x14ac:dyDescent="0.45">
      <c r="C87" s="17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</row>
    <row r="88" spans="3:27" outlineLevel="1" x14ac:dyDescent="0.45">
      <c r="C88" s="17" t="s">
        <v>3</v>
      </c>
      <c r="D88" s="26" t="s">
        <v>20</v>
      </c>
      <c r="E88" s="102">
        <f t="shared" ref="E88:G88" si="53">E83+E86</f>
        <v>29.25</v>
      </c>
      <c r="F88" s="102">
        <f t="shared" si="53"/>
        <v>-1348</v>
      </c>
      <c r="G88" s="102">
        <f t="shared" si="53"/>
        <v>-5868</v>
      </c>
      <c r="H88" s="102">
        <f>H83+H86</f>
        <v>-7973.1253604974099</v>
      </c>
      <c r="I88" s="102">
        <f t="shared" ref="I88:AA88" si="54">I83+I86</f>
        <v>-12253.041869679677</v>
      </c>
      <c r="J88" s="102">
        <f t="shared" si="54"/>
        <v>-9117.0804680401961</v>
      </c>
      <c r="K88" s="102">
        <f t="shared" si="54"/>
        <v>-3019.7667486847495</v>
      </c>
      <c r="L88" s="102">
        <f t="shared" si="54"/>
        <v>4410.6453112157351</v>
      </c>
      <c r="M88" s="102">
        <f t="shared" si="54"/>
        <v>13400.833245286545</v>
      </c>
      <c r="N88" s="102">
        <f t="shared" si="54"/>
        <v>24200.436401771607</v>
      </c>
      <c r="O88" s="102">
        <f t="shared" si="54"/>
        <v>27378.572438106727</v>
      </c>
      <c r="P88" s="102">
        <f t="shared" si="54"/>
        <v>30759.607804508858</v>
      </c>
      <c r="Q88" s="102">
        <f t="shared" si="54"/>
        <v>34495.159534722232</v>
      </c>
      <c r="R88" s="102">
        <f t="shared" si="54"/>
        <v>38616.718055284902</v>
      </c>
      <c r="S88" s="102">
        <f t="shared" si="54"/>
        <v>43158.244371106688</v>
      </c>
      <c r="T88" s="102">
        <f t="shared" si="54"/>
        <v>48156.405824386173</v>
      </c>
      <c r="U88" s="102">
        <f t="shared" si="54"/>
        <v>53650.847459927398</v>
      </c>
      <c r="V88" s="102">
        <f t="shared" si="54"/>
        <v>59684.502864278576</v>
      </c>
      <c r="W88" s="102">
        <f t="shared" si="54"/>
        <v>66303.948062595213</v>
      </c>
      <c r="X88" s="102">
        <f t="shared" si="54"/>
        <v>73559.801660394587</v>
      </c>
      <c r="Y88" s="102">
        <f t="shared" si="54"/>
        <v>81507.173926401389</v>
      </c>
      <c r="Z88" s="102">
        <f t="shared" si="54"/>
        <v>90206.166955226479</v>
      </c>
      <c r="AA88" s="102">
        <f t="shared" si="54"/>
        <v>99722.427460291714</v>
      </c>
    </row>
    <row r="89" spans="3:27" outlineLevel="1" x14ac:dyDescent="0.45">
      <c r="C89" s="17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</row>
    <row r="90" spans="3:27" outlineLevel="1" x14ac:dyDescent="0.45">
      <c r="C90" s="14" t="s">
        <v>26</v>
      </c>
      <c r="D90" s="26" t="s">
        <v>20</v>
      </c>
      <c r="E90" s="101">
        <f t="shared" ref="E90:AA90" si="55">E47</f>
        <v>1180</v>
      </c>
      <c r="F90" s="101">
        <f t="shared" si="55"/>
        <v>1679</v>
      </c>
      <c r="G90" s="101">
        <f t="shared" si="55"/>
        <v>3568</v>
      </c>
      <c r="H90" s="101">
        <f t="shared" si="55"/>
        <v>8470.133585454545</v>
      </c>
      <c r="I90" s="101">
        <f t="shared" si="55"/>
        <v>10890.70671713684</v>
      </c>
      <c r="J90" s="101">
        <f t="shared" si="55"/>
        <v>14017.154495797891</v>
      </c>
      <c r="K90" s="101">
        <f t="shared" si="55"/>
        <v>17343.434571374648</v>
      </c>
      <c r="L90" s="101">
        <f t="shared" si="55"/>
        <v>20343.652814755547</v>
      </c>
      <c r="M90" s="101">
        <f t="shared" si="55"/>
        <v>22262.448834496212</v>
      </c>
      <c r="N90" s="101">
        <f t="shared" si="55"/>
        <v>22539.853585747187</v>
      </c>
      <c r="O90" s="101">
        <f t="shared" si="55"/>
        <v>22483.410432227251</v>
      </c>
      <c r="P90" s="101">
        <f t="shared" si="55"/>
        <v>22408.805954929649</v>
      </c>
      <c r="Q90" s="101">
        <f t="shared" si="55"/>
        <v>22317.220397799123</v>
      </c>
      <c r="R90" s="101">
        <f t="shared" si="55"/>
        <v>22209.77828268801</v>
      </c>
      <c r="S90" s="101">
        <f t="shared" si="55"/>
        <v>22087.550729911498</v>
      </c>
      <c r="T90" s="101">
        <f t="shared" si="55"/>
        <v>21951.55768847746</v>
      </c>
      <c r="U90" s="101">
        <f t="shared" si="55"/>
        <v>21802.770079360893</v>
      </c>
      <c r="V90" s="101">
        <f t="shared" si="55"/>
        <v>21642.111855070922</v>
      </c>
      <c r="W90" s="101">
        <f t="shared" si="55"/>
        <v>21470.461978640666</v>
      </c>
      <c r="X90" s="101">
        <f t="shared" si="55"/>
        <v>21288.656325056359</v>
      </c>
      <c r="Y90" s="101">
        <f t="shared" si="55"/>
        <v>21097.489508032813</v>
      </c>
      <c r="Z90" s="101">
        <f t="shared" si="55"/>
        <v>20897.71663493634</v>
      </c>
      <c r="AA90" s="101">
        <f t="shared" si="55"/>
        <v>20690.054992554633</v>
      </c>
    </row>
    <row r="91" spans="3:27" outlineLevel="1" x14ac:dyDescent="0.45">
      <c r="C91" s="136" t="s">
        <v>90</v>
      </c>
      <c r="D91" s="25" t="s">
        <v>18</v>
      </c>
      <c r="E91" s="138">
        <f t="shared" ref="E91:AA91" si="56">E90/E$80</f>
        <v>0.39851401553529214</v>
      </c>
      <c r="F91" s="138">
        <f t="shared" si="56"/>
        <v>0.6408396946564886</v>
      </c>
      <c r="G91" s="138">
        <f t="shared" si="56"/>
        <v>1.1146516713527024</v>
      </c>
      <c r="H91" s="138">
        <f t="shared" si="56"/>
        <v>0.58428448837400082</v>
      </c>
      <c r="I91" s="138">
        <f t="shared" si="56"/>
        <v>0.34383167535613479</v>
      </c>
      <c r="J91" s="138">
        <f t="shared" si="56"/>
        <v>0.34390572159685417</v>
      </c>
      <c r="K91" s="138">
        <f t="shared" si="56"/>
        <v>0.34762095390258402</v>
      </c>
      <c r="L91" s="138">
        <f t="shared" si="56"/>
        <v>0.35503328809270163</v>
      </c>
      <c r="M91" s="138">
        <f t="shared" si="56"/>
        <v>0.33116175223975192</v>
      </c>
      <c r="N91" s="138">
        <f t="shared" si="56"/>
        <v>0.2996354296991407</v>
      </c>
      <c r="O91" s="138">
        <f t="shared" si="56"/>
        <v>0.27229416658678124</v>
      </c>
      <c r="P91" s="138">
        <f t="shared" si="56"/>
        <v>0.24874919964509978</v>
      </c>
      <c r="Q91" s="138">
        <f t="shared" si="56"/>
        <v>0.22728962581022444</v>
      </c>
      <c r="R91" s="138">
        <f t="shared" si="56"/>
        <v>0.20772923332099058</v>
      </c>
      <c r="S91" s="138">
        <f t="shared" si="56"/>
        <v>0.18989752578892977</v>
      </c>
      <c r="T91" s="138">
        <f t="shared" si="56"/>
        <v>0.17363859113761532</v>
      </c>
      <c r="U91" s="138">
        <f t="shared" si="56"/>
        <v>0.15881003651499137</v>
      </c>
      <c r="V91" s="138">
        <f t="shared" si="56"/>
        <v>0.14528198372079687</v>
      </c>
      <c r="W91" s="138">
        <f t="shared" si="56"/>
        <v>0.13293612087877735</v>
      </c>
      <c r="X91" s="138">
        <f t="shared" si="56"/>
        <v>0.12166480702071661</v>
      </c>
      <c r="Y91" s="138">
        <f t="shared" si="56"/>
        <v>0.1113702269639968</v>
      </c>
      <c r="Z91" s="138">
        <f t="shared" si="56"/>
        <v>0.10196359439033138</v>
      </c>
      <c r="AA91" s="138">
        <f t="shared" si="56"/>
        <v>9.3364401406663841E-2</v>
      </c>
    </row>
    <row r="92" spans="3:27" outlineLevel="1" x14ac:dyDescent="0.45"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</row>
    <row r="93" spans="3:27" outlineLevel="1" x14ac:dyDescent="0.45">
      <c r="C93" s="14" t="s">
        <v>27</v>
      </c>
      <c r="D93" s="26" t="s">
        <v>20</v>
      </c>
      <c r="E93" s="101">
        <f t="shared" ref="E93:G93" si="57">E75</f>
        <v>571.84615384615381</v>
      </c>
      <c r="F93" s="101">
        <f t="shared" si="57"/>
        <v>312.75490545843741</v>
      </c>
      <c r="G93" s="101">
        <f t="shared" si="57"/>
        <v>358.08551997429583</v>
      </c>
      <c r="H93" s="101">
        <f>H75</f>
        <v>-1694.3387346811116</v>
      </c>
      <c r="I93" s="101">
        <f t="shared" ref="I93:AA93" si="58">I75</f>
        <v>-1717.7938438712849</v>
      </c>
      <c r="J93" s="101">
        <f t="shared" si="58"/>
        <v>-454.2091338698354</v>
      </c>
      <c r="K93" s="101">
        <f t="shared" si="58"/>
        <v>-456.65428879401662</v>
      </c>
      <c r="L93" s="101">
        <f t="shared" si="58"/>
        <v>-370.44463830505447</v>
      </c>
      <c r="M93" s="101">
        <f t="shared" si="58"/>
        <v>-496.23054329672016</v>
      </c>
      <c r="N93" s="101">
        <f t="shared" si="58"/>
        <v>-399.94791506993937</v>
      </c>
      <c r="O93" s="101">
        <f t="shared" si="58"/>
        <v>-367.30187196229167</v>
      </c>
      <c r="P93" s="101">
        <f t="shared" si="58"/>
        <v>-375.78220515347567</v>
      </c>
      <c r="Q93" s="101">
        <f t="shared" si="58"/>
        <v>-405.12635776592799</v>
      </c>
      <c r="R93" s="101">
        <f t="shared" si="58"/>
        <v>-436.42458241723727</v>
      </c>
      <c r="S93" s="101">
        <f t="shared" si="58"/>
        <v>-469.80191391932317</v>
      </c>
      <c r="T93" s="101">
        <f t="shared" si="58"/>
        <v>-505.3981367676912</v>
      </c>
      <c r="U93" s="101">
        <f t="shared" si="58"/>
        <v>-543.3701060418673</v>
      </c>
      <c r="V93" s="101">
        <f t="shared" si="58"/>
        <v>-583.89415078456227</v>
      </c>
      <c r="W93" s="101">
        <f t="shared" si="58"/>
        <v>-627.16850946699424</v>
      </c>
      <c r="X93" s="101">
        <f t="shared" si="58"/>
        <v>-673.41574432877394</v>
      </c>
      <c r="Y93" s="101">
        <f t="shared" si="58"/>
        <v>-722.8850814142512</v>
      </c>
      <c r="Z93" s="101">
        <f t="shared" si="58"/>
        <v>-775.85462630477855</v>
      </c>
      <c r="AA93" s="101">
        <f t="shared" si="58"/>
        <v>-832.63341198476121</v>
      </c>
    </row>
    <row r="94" spans="3:27" outlineLevel="1" x14ac:dyDescent="0.45">
      <c r="C94" s="136" t="s">
        <v>90</v>
      </c>
      <c r="D94" s="25" t="s">
        <v>18</v>
      </c>
      <c r="E94" s="138">
        <f t="shared" ref="E94:G94" si="59">E93/E80</f>
        <v>0.19312602291325695</v>
      </c>
      <c r="F94" s="138">
        <f t="shared" si="59"/>
        <v>0.11937210132001427</v>
      </c>
      <c r="G94" s="138">
        <f t="shared" si="59"/>
        <v>0.11186676662739639</v>
      </c>
      <c r="H94" s="138">
        <f>H93/H80</f>
        <v>-0.11687842118871125</v>
      </c>
      <c r="I94" s="138">
        <v>0.2</v>
      </c>
      <c r="J94" s="138">
        <v>0.15</v>
      </c>
      <c r="K94" s="138">
        <v>0.1</v>
      </c>
      <c r="L94" s="138">
        <v>0.1</v>
      </c>
      <c r="M94" s="138">
        <v>0.1</v>
      </c>
      <c r="N94" s="138">
        <v>0.1</v>
      </c>
      <c r="O94" s="138">
        <v>0.1</v>
      </c>
      <c r="P94" s="138">
        <v>0.1</v>
      </c>
      <c r="Q94" s="138">
        <v>0.1</v>
      </c>
      <c r="R94" s="138">
        <v>0.1</v>
      </c>
      <c r="S94" s="138">
        <v>0.1</v>
      </c>
      <c r="T94" s="138">
        <v>0.1</v>
      </c>
      <c r="U94" s="138">
        <v>0.1</v>
      </c>
      <c r="V94" s="138">
        <v>0.1</v>
      </c>
      <c r="W94" s="138">
        <v>0.1</v>
      </c>
      <c r="X94" s="138">
        <v>0.1</v>
      </c>
      <c r="Y94" s="138">
        <v>0.1</v>
      </c>
      <c r="Z94" s="138">
        <v>0.1</v>
      </c>
      <c r="AA94" s="138">
        <v>0.1</v>
      </c>
    </row>
    <row r="95" spans="3:27" outlineLevel="1" x14ac:dyDescent="0.45">
      <c r="C95" s="14"/>
      <c r="G95" s="101"/>
      <c r="H95" s="101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</row>
    <row r="96" spans="3:27" outlineLevel="1" x14ac:dyDescent="0.45">
      <c r="C96" s="14" t="s">
        <v>22</v>
      </c>
      <c r="D96" s="26" t="s">
        <v>20</v>
      </c>
      <c r="E96" s="101">
        <f t="shared" ref="E96:AA96" si="60">E43</f>
        <v>-463</v>
      </c>
      <c r="F96" s="101">
        <f t="shared" si="60"/>
        <v>-5633</v>
      </c>
      <c r="G96" s="101">
        <f t="shared" si="60"/>
        <v>-12727</v>
      </c>
      <c r="H96" s="101">
        <f t="shared" si="60"/>
        <v>-30212.833560000003</v>
      </c>
      <c r="I96" s="101">
        <f t="shared" si="60"/>
        <v>-36072.195648963156</v>
      </c>
      <c r="J96" s="101">
        <f t="shared" si="60"/>
        <v>-40624.163195141831</v>
      </c>
      <c r="K96" s="101">
        <f t="shared" si="60"/>
        <v>-44350.856571307457</v>
      </c>
      <c r="L96" s="101">
        <f t="shared" si="60"/>
        <v>-43352.544753586313</v>
      </c>
      <c r="M96" s="101">
        <f t="shared" si="60"/>
        <v>-39950.753582283629</v>
      </c>
      <c r="N96" s="101">
        <f t="shared" si="60"/>
        <v>-36190.822426798724</v>
      </c>
      <c r="O96" s="101">
        <f t="shared" si="60"/>
        <v>-34200.184937944745</v>
      </c>
      <c r="P96" s="101">
        <f t="shared" si="60"/>
        <v>-34086.701846557524</v>
      </c>
      <c r="Q96" s="101">
        <f t="shared" si="60"/>
        <v>-33947.388329110952</v>
      </c>
      <c r="R96" s="101">
        <f t="shared" si="60"/>
        <v>-33783.954929271531</v>
      </c>
      <c r="S96" s="101">
        <f t="shared" si="60"/>
        <v>-33598.030960037868</v>
      </c>
      <c r="T96" s="101">
        <f t="shared" si="60"/>
        <v>-33391.167896209656</v>
      </c>
      <c r="U96" s="101">
        <f t="shared" si="60"/>
        <v>-33164.842634586203</v>
      </c>
      <c r="V96" s="101">
        <f t="shared" si="60"/>
        <v>-32920.460626835149</v>
      </c>
      <c r="W96" s="101">
        <f t="shared" si="60"/>
        <v>-32659.358889792817</v>
      </c>
      <c r="X96" s="101">
        <f t="shared" si="60"/>
        <v>-32382.808897784722</v>
      </c>
      <c r="Y96" s="101">
        <f t="shared" si="60"/>
        <v>-32092.019361388047</v>
      </c>
      <c r="Z96" s="101">
        <f t="shared" si="60"/>
        <v>-31788.138896897191</v>
      </c>
      <c r="AA96" s="101">
        <f t="shared" si="60"/>
        <v>-31472.258590598471</v>
      </c>
    </row>
    <row r="97" spans="3:27" outlineLevel="1" x14ac:dyDescent="0.45">
      <c r="C97" s="136" t="s">
        <v>90</v>
      </c>
      <c r="D97" s="25" t="s">
        <v>18</v>
      </c>
      <c r="E97" s="138">
        <f t="shared" ref="E97:AA97" si="61">-E96/E$80</f>
        <v>0.15636609253630529</v>
      </c>
      <c r="F97" s="138">
        <f t="shared" si="61"/>
        <v>2.15</v>
      </c>
      <c r="G97" s="138">
        <f t="shared" si="61"/>
        <v>3.9759450171821307</v>
      </c>
      <c r="H97" s="138">
        <f t="shared" si="61"/>
        <v>2.0841335996457144</v>
      </c>
      <c r="I97" s="138">
        <f t="shared" si="61"/>
        <v>1.1388391759959133</v>
      </c>
      <c r="J97" s="138">
        <f t="shared" si="61"/>
        <v>0.9966988779414433</v>
      </c>
      <c r="K97" s="138">
        <f t="shared" si="61"/>
        <v>0.8889408268164386</v>
      </c>
      <c r="L97" s="138">
        <f t="shared" si="61"/>
        <v>0.7565797868850771</v>
      </c>
      <c r="M97" s="138">
        <f t="shared" si="61"/>
        <v>0.59428150325974616</v>
      </c>
      <c r="N97" s="138">
        <f t="shared" si="61"/>
        <v>0.4811057262535301</v>
      </c>
      <c r="O97" s="138">
        <f t="shared" si="61"/>
        <v>0.41419476297257352</v>
      </c>
      <c r="P97" s="138">
        <f t="shared" si="61"/>
        <v>0.37837981282563832</v>
      </c>
      <c r="Q97" s="138">
        <f t="shared" si="61"/>
        <v>0.34573701621546621</v>
      </c>
      <c r="R97" s="138">
        <f t="shared" si="61"/>
        <v>0.31598312088863906</v>
      </c>
      <c r="S97" s="138">
        <f t="shared" si="61"/>
        <v>0.28885877971299245</v>
      </c>
      <c r="T97" s="138">
        <f t="shared" si="61"/>
        <v>0.26412683018758287</v>
      </c>
      <c r="U97" s="138">
        <f t="shared" si="61"/>
        <v>0.24157067430612317</v>
      </c>
      <c r="V97" s="138">
        <f t="shared" si="61"/>
        <v>0.22099275047173186</v>
      </c>
      <c r="W97" s="138">
        <f t="shared" si="61"/>
        <v>0.20221309096730228</v>
      </c>
      <c r="X97" s="138">
        <f t="shared" si="61"/>
        <v>0.18506795991161704</v>
      </c>
      <c r="Y97" s="138">
        <f t="shared" si="61"/>
        <v>0.16940856771844534</v>
      </c>
      <c r="Z97" s="138">
        <f t="shared" si="61"/>
        <v>0.15509985887587929</v>
      </c>
      <c r="AA97" s="138">
        <f t="shared" si="61"/>
        <v>0.14201937043107649</v>
      </c>
    </row>
    <row r="98" spans="3:27" outlineLevel="1" x14ac:dyDescent="0.45">
      <c r="C98" s="17"/>
      <c r="E98" s="30"/>
      <c r="F98" s="30"/>
      <c r="G98" s="30"/>
      <c r="H98" s="30"/>
      <c r="I98" s="30"/>
      <c r="J98" s="30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</row>
    <row r="99" spans="3:27" outlineLevel="1" x14ac:dyDescent="0.45">
      <c r="C99" s="31" t="s">
        <v>4</v>
      </c>
      <c r="D99" s="32" t="s">
        <v>20</v>
      </c>
      <c r="E99" s="123">
        <f t="shared" ref="E99:AA99" si="62">E88+E90+E93+E96</f>
        <v>1318.0961538461538</v>
      </c>
      <c r="F99" s="123">
        <f t="shared" si="62"/>
        <v>-4989.2450945415621</v>
      </c>
      <c r="G99" s="123">
        <f t="shared" si="62"/>
        <v>-14668.914480025704</v>
      </c>
      <c r="H99" s="123">
        <f t="shared" si="62"/>
        <v>-31410.164069723978</v>
      </c>
      <c r="I99" s="123">
        <f t="shared" si="62"/>
        <v>-39152.324645377281</v>
      </c>
      <c r="J99" s="123">
        <f t="shared" si="62"/>
        <v>-36178.29830125397</v>
      </c>
      <c r="K99" s="123">
        <f t="shared" si="62"/>
        <v>-30483.843037411574</v>
      </c>
      <c r="L99" s="123">
        <f t="shared" si="62"/>
        <v>-18968.691265920083</v>
      </c>
      <c r="M99" s="123">
        <f t="shared" si="62"/>
        <v>-4783.7020457975887</v>
      </c>
      <c r="N99" s="123">
        <f t="shared" si="62"/>
        <v>10149.519645650129</v>
      </c>
      <c r="O99" s="123">
        <f t="shared" si="62"/>
        <v>15294.496060426936</v>
      </c>
      <c r="P99" s="123">
        <f t="shared" si="62"/>
        <v>18705.929707727511</v>
      </c>
      <c r="Q99" s="123">
        <f t="shared" si="62"/>
        <v>22459.865245644476</v>
      </c>
      <c r="R99" s="123">
        <f t="shared" si="62"/>
        <v>26606.116826284146</v>
      </c>
      <c r="S99" s="123">
        <f t="shared" si="62"/>
        <v>31177.962227060998</v>
      </c>
      <c r="T99" s="123">
        <f t="shared" si="62"/>
        <v>36211.397479886284</v>
      </c>
      <c r="U99" s="123">
        <f t="shared" si="62"/>
        <v>41745.404798660216</v>
      </c>
      <c r="V99" s="123">
        <f t="shared" si="62"/>
        <v>47822.25994172979</v>
      </c>
      <c r="W99" s="123">
        <f t="shared" si="62"/>
        <v>54487.882641976074</v>
      </c>
      <c r="X99" s="123">
        <f t="shared" si="62"/>
        <v>61792.233343337459</v>
      </c>
      <c r="Y99" s="123">
        <f t="shared" si="62"/>
        <v>69789.758991631912</v>
      </c>
      <c r="Z99" s="123">
        <f t="shared" si="62"/>
        <v>78539.890066960856</v>
      </c>
      <c r="AA99" s="123">
        <f t="shared" si="62"/>
        <v>88107.590450263117</v>
      </c>
    </row>
    <row r="100" spans="3:27" outlineLevel="1" x14ac:dyDescent="0.45">
      <c r="C100" s="27" t="s">
        <v>13</v>
      </c>
      <c r="D100" s="25" t="s">
        <v>18</v>
      </c>
      <c r="E100" s="28" t="str">
        <f>IFERROR(E99/D99-1,"N/A")</f>
        <v>N/A</v>
      </c>
      <c r="F100" s="28">
        <f>IFERROR(F99/E99-1,"N/A")</f>
        <v>-4.7851905416635478</v>
      </c>
      <c r="G100" s="28">
        <f>IFERROR(G99/F99-1,"N/A")</f>
        <v>1.9401070105924632</v>
      </c>
      <c r="H100" s="28">
        <f>IFERROR(H99/G99-1,"N/A")</f>
        <v>1.1412739240176508</v>
      </c>
      <c r="I100" s="28">
        <f t="shared" ref="I100:AA100" si="63">IFERROR(I99/H99-1,"N/A")</f>
        <v>0.24648583682871972</v>
      </c>
      <c r="J100" s="28">
        <f t="shared" si="63"/>
        <v>-7.5960402634086099E-2</v>
      </c>
      <c r="K100" s="28">
        <f t="shared" si="63"/>
        <v>-0.15739975430643793</v>
      </c>
      <c r="L100" s="28">
        <f t="shared" si="63"/>
        <v>-0.37774606559151402</v>
      </c>
      <c r="M100" s="28">
        <f t="shared" si="63"/>
        <v>-0.74781064340521053</v>
      </c>
      <c r="N100" s="28">
        <f t="shared" si="63"/>
        <v>-3.1216872515223502</v>
      </c>
      <c r="O100" s="28">
        <f t="shared" si="63"/>
        <v>0.50691821824117911</v>
      </c>
      <c r="P100" s="28">
        <f t="shared" si="63"/>
        <v>0.22304975814975281</v>
      </c>
      <c r="Q100" s="28">
        <f t="shared" si="63"/>
        <v>0.20068158047050688</v>
      </c>
      <c r="R100" s="28">
        <f t="shared" si="63"/>
        <v>0.18460714413430113</v>
      </c>
      <c r="S100" s="28">
        <f t="shared" si="63"/>
        <v>0.17183437292361026</v>
      </c>
      <c r="T100" s="28">
        <f t="shared" si="63"/>
        <v>0.16144208579663055</v>
      </c>
      <c r="U100" s="28">
        <f t="shared" si="63"/>
        <v>0.15282501377771496</v>
      </c>
      <c r="V100" s="28">
        <f t="shared" si="63"/>
        <v>0.14556943865746397</v>
      </c>
      <c r="W100" s="28">
        <f t="shared" si="63"/>
        <v>0.13938326437036186</v>
      </c>
      <c r="X100" s="28">
        <f t="shared" si="63"/>
        <v>0.13405458878547605</v>
      </c>
      <c r="Y100" s="28">
        <f t="shared" si="63"/>
        <v>0.12942606563283832</v>
      </c>
      <c r="Z100" s="28">
        <f t="shared" si="63"/>
        <v>0.12537843949823824</v>
      </c>
      <c r="AA100" s="28">
        <f t="shared" si="63"/>
        <v>0.12181963044696276</v>
      </c>
    </row>
    <row r="101" spans="3:27" outlineLevel="1" x14ac:dyDescent="0.45">
      <c r="C101" s="27" t="s">
        <v>97</v>
      </c>
      <c r="D101" s="25" t="s">
        <v>18</v>
      </c>
      <c r="E101" s="28">
        <f>E99/E80</f>
        <v>0.44515236536513131</v>
      </c>
      <c r="F101" s="28">
        <f t="shared" ref="F101:AA101" si="64">F99/F80</f>
        <v>-1.9042920208173901</v>
      </c>
      <c r="G101" s="28">
        <f t="shared" si="64"/>
        <v>-4.5826037113482361</v>
      </c>
      <c r="H101" s="28">
        <f t="shared" si="64"/>
        <v>-2.1667275324604249</v>
      </c>
      <c r="I101" s="28">
        <f t="shared" si="64"/>
        <v>-1.2360822604583421</v>
      </c>
      <c r="J101" s="28">
        <f t="shared" si="64"/>
        <v>-0.88762122063853044</v>
      </c>
      <c r="K101" s="28">
        <f t="shared" si="64"/>
        <v>-0.61099908162202887</v>
      </c>
      <c r="L101" s="28">
        <f t="shared" si="64"/>
        <v>-0.33103773900772998</v>
      </c>
      <c r="M101" s="28">
        <f t="shared" si="64"/>
        <v>-7.1159249526246679E-2</v>
      </c>
      <c r="N101" s="28">
        <f t="shared" si="64"/>
        <v>0.13492348868615925</v>
      </c>
      <c r="O101" s="28">
        <f t="shared" si="64"/>
        <v>0.18522999749936994</v>
      </c>
      <c r="P101" s="28">
        <f t="shared" si="64"/>
        <v>0.20764538069423977</v>
      </c>
      <c r="Q101" s="28">
        <f t="shared" si="64"/>
        <v>0.22874239158986084</v>
      </c>
      <c r="R101" s="28">
        <f t="shared" si="64"/>
        <v>0.24884842071029473</v>
      </c>
      <c r="S101" s="28">
        <f t="shared" si="64"/>
        <v>0.26805225977553726</v>
      </c>
      <c r="T101" s="28">
        <f t="shared" si="64"/>
        <v>0.28643507357257419</v>
      </c>
      <c r="U101" s="28">
        <f t="shared" si="64"/>
        <v>0.30407096145475926</v>
      </c>
      <c r="V101" s="28">
        <f t="shared" si="64"/>
        <v>0.32102748737610826</v>
      </c>
      <c r="W101" s="28">
        <f t="shared" si="64"/>
        <v>0.33736618059398454</v>
      </c>
      <c r="X101" s="28">
        <f t="shared" si="64"/>
        <v>0.35314300866644005</v>
      </c>
      <c r="Y101" s="28">
        <f t="shared" si="64"/>
        <v>0.36840882398359881</v>
      </c>
      <c r="Z101" s="28">
        <f t="shared" si="64"/>
        <v>0.38320978478868195</v>
      </c>
      <c r="AA101" s="28">
        <f t="shared" si="64"/>
        <v>0.39758775144544056</v>
      </c>
    </row>
    <row r="102" spans="3:27" outlineLevel="1" x14ac:dyDescent="0.45">
      <c r="I102" s="118"/>
      <c r="J102" s="118"/>
      <c r="K102" s="118"/>
      <c r="L102" s="118"/>
      <c r="M102" s="118"/>
      <c r="N102" s="118"/>
      <c r="O102" s="118"/>
      <c r="P102" s="118"/>
      <c r="Q102" s="118"/>
      <c r="R102" s="118"/>
      <c r="S102" s="118"/>
      <c r="T102" s="118"/>
      <c r="U102" s="118"/>
      <c r="V102" s="118"/>
      <c r="W102" s="118"/>
      <c r="X102" s="118"/>
      <c r="Y102" s="118"/>
      <c r="Z102" s="118"/>
      <c r="AA102" s="118"/>
    </row>
    <row r="103" spans="3:27" outlineLevel="1" x14ac:dyDescent="0.45">
      <c r="C103" s="5" t="s">
        <v>50</v>
      </c>
      <c r="D103" s="25" t="s">
        <v>56</v>
      </c>
      <c r="H103" s="74">
        <v>1</v>
      </c>
      <c r="I103" s="13">
        <f t="shared" ref="I103:AA103" si="65">H103+1</f>
        <v>2</v>
      </c>
      <c r="J103" s="13">
        <f t="shared" si="65"/>
        <v>3</v>
      </c>
      <c r="K103" s="13">
        <f t="shared" si="65"/>
        <v>4</v>
      </c>
      <c r="L103" s="13">
        <f t="shared" si="65"/>
        <v>5</v>
      </c>
      <c r="M103" s="13">
        <f t="shared" si="65"/>
        <v>6</v>
      </c>
      <c r="N103" s="13">
        <f t="shared" si="65"/>
        <v>7</v>
      </c>
      <c r="O103" s="13">
        <f t="shared" si="65"/>
        <v>8</v>
      </c>
      <c r="P103" s="13">
        <f t="shared" si="65"/>
        <v>9</v>
      </c>
      <c r="Q103" s="13">
        <f t="shared" si="65"/>
        <v>10</v>
      </c>
      <c r="R103" s="13">
        <f t="shared" si="65"/>
        <v>11</v>
      </c>
      <c r="S103" s="13">
        <f t="shared" si="65"/>
        <v>12</v>
      </c>
      <c r="T103" s="13">
        <f t="shared" si="65"/>
        <v>13</v>
      </c>
      <c r="U103" s="13">
        <f t="shared" si="65"/>
        <v>14</v>
      </c>
      <c r="V103" s="13">
        <f t="shared" si="65"/>
        <v>15</v>
      </c>
      <c r="W103" s="13">
        <f t="shared" si="65"/>
        <v>16</v>
      </c>
      <c r="X103" s="13">
        <f t="shared" si="65"/>
        <v>17</v>
      </c>
      <c r="Y103" s="13">
        <f t="shared" si="65"/>
        <v>18</v>
      </c>
      <c r="Z103" s="13">
        <f t="shared" si="65"/>
        <v>19</v>
      </c>
      <c r="AA103" s="13">
        <f t="shared" si="65"/>
        <v>20</v>
      </c>
    </row>
    <row r="104" spans="3:27" outlineLevel="1" x14ac:dyDescent="0.45">
      <c r="C104" s="5" t="s">
        <v>2</v>
      </c>
      <c r="D104" s="25" t="s">
        <v>18</v>
      </c>
      <c r="H104" s="75">
        <f>$E$12</f>
        <v>0.14616674989904763</v>
      </c>
      <c r="I104" s="76">
        <f t="shared" ref="I104:Z104" si="66">H104-($H104-$AA104)/($AA$103-1)</f>
        <v>0.1435351709516792</v>
      </c>
      <c r="J104" s="76">
        <f t="shared" si="66"/>
        <v>0.14090359200431077</v>
      </c>
      <c r="K104" s="76">
        <f t="shared" si="66"/>
        <v>0.13827201305694234</v>
      </c>
      <c r="L104" s="76">
        <f t="shared" si="66"/>
        <v>0.13564043410957391</v>
      </c>
      <c r="M104" s="76">
        <f t="shared" si="66"/>
        <v>0.13300885516220548</v>
      </c>
      <c r="N104" s="76">
        <f t="shared" si="66"/>
        <v>0.13037727621483705</v>
      </c>
      <c r="O104" s="76">
        <f t="shared" si="66"/>
        <v>0.12774569726746862</v>
      </c>
      <c r="P104" s="76">
        <f t="shared" si="66"/>
        <v>0.12511411832010019</v>
      </c>
      <c r="Q104" s="76">
        <f t="shared" si="66"/>
        <v>0.12248253937273178</v>
      </c>
      <c r="R104" s="76">
        <f t="shared" si="66"/>
        <v>0.11985096042536336</v>
      </c>
      <c r="S104" s="76">
        <f t="shared" si="66"/>
        <v>0.11721938147799495</v>
      </c>
      <c r="T104" s="76">
        <f t="shared" si="66"/>
        <v>0.11458780253062653</v>
      </c>
      <c r="U104" s="76">
        <f t="shared" si="66"/>
        <v>0.11195622358325812</v>
      </c>
      <c r="V104" s="76">
        <f t="shared" si="66"/>
        <v>0.1093246446358897</v>
      </c>
      <c r="W104" s="76">
        <f t="shared" si="66"/>
        <v>0.10669306568852129</v>
      </c>
      <c r="X104" s="76">
        <f t="shared" si="66"/>
        <v>0.10406148674115287</v>
      </c>
      <c r="Y104" s="76">
        <f t="shared" si="66"/>
        <v>0.10142990779378445</v>
      </c>
      <c r="Z104" s="76">
        <f t="shared" si="66"/>
        <v>9.8798328846416039E-2</v>
      </c>
      <c r="AA104" s="76">
        <f>$E$14</f>
        <v>9.6166749899047624E-2</v>
      </c>
    </row>
    <row r="105" spans="3:27" outlineLevel="1" x14ac:dyDescent="0.45">
      <c r="C105" s="5" t="s">
        <v>51</v>
      </c>
      <c r="D105" s="25" t="s">
        <v>56</v>
      </c>
      <c r="H105" s="77">
        <f>1/((1+H104)^H103)</f>
        <v>0.87247339890821152</v>
      </c>
      <c r="I105" s="77">
        <f t="shared" ref="I105:AA105" si="67">H105/(1+I104)</f>
        <v>0.76296157833266887</v>
      </c>
      <c r="J105" s="77">
        <f t="shared" si="67"/>
        <v>0.66873448701508353</v>
      </c>
      <c r="K105" s="77">
        <f t="shared" si="67"/>
        <v>0.58749971829592007</v>
      </c>
      <c r="L105" s="77">
        <f t="shared" si="67"/>
        <v>0.51732898957279849</v>
      </c>
      <c r="M105" s="77">
        <f t="shared" si="67"/>
        <v>0.45659748131336175</v>
      </c>
      <c r="N105" s="77">
        <f t="shared" si="67"/>
        <v>0.40393370507439486</v>
      </c>
      <c r="O105" s="77">
        <f t="shared" si="67"/>
        <v>0.35817800595748445</v>
      </c>
      <c r="P105" s="77">
        <f t="shared" si="67"/>
        <v>0.31834815697831387</v>
      </c>
      <c r="Q105" s="77">
        <f t="shared" si="67"/>
        <v>0.28361078752834223</v>
      </c>
      <c r="R105" s="77">
        <f t="shared" si="67"/>
        <v>0.25325761869295155</v>
      </c>
      <c r="S105" s="77">
        <f t="shared" si="67"/>
        <v>0.22668566522531258</v>
      </c>
      <c r="T105" s="77">
        <f t="shared" si="67"/>
        <v>0.20338071591186618</v>
      </c>
      <c r="U105" s="77">
        <f t="shared" si="67"/>
        <v>0.18290352767348667</v>
      </c>
      <c r="V105" s="77">
        <f t="shared" si="67"/>
        <v>0.16487826945692757</v>
      </c>
      <c r="W105" s="77">
        <f t="shared" si="67"/>
        <v>0.14898283414683702</v>
      </c>
      <c r="X105" s="77">
        <f t="shared" si="67"/>
        <v>0.13494070387926324</v>
      </c>
      <c r="Y105" s="77">
        <f t="shared" si="67"/>
        <v>0.12251410909075075</v>
      </c>
      <c r="Z105" s="77">
        <f t="shared" si="67"/>
        <v>0.11149826667407964</v>
      </c>
      <c r="AA105" s="77">
        <f t="shared" si="67"/>
        <v>0.10171651957546436</v>
      </c>
    </row>
    <row r="106" spans="3:27" outlineLevel="1" x14ac:dyDescent="0.45">
      <c r="H106" s="20"/>
      <c r="I106" s="13"/>
      <c r="J106" s="13"/>
      <c r="K106" s="13"/>
      <c r="L106" s="13"/>
      <c r="M106" s="13"/>
      <c r="N106" s="13"/>
      <c r="O106" s="13"/>
      <c r="P106" s="13"/>
      <c r="Q106" s="13"/>
    </row>
    <row r="107" spans="3:27" outlineLevel="1" x14ac:dyDescent="0.45">
      <c r="C107" s="17" t="s">
        <v>54</v>
      </c>
      <c r="D107" s="26" t="s">
        <v>20</v>
      </c>
      <c r="H107" s="102">
        <f t="shared" ref="H107:AA107" si="68">H99*H105</f>
        <v>-27404.532606176661</v>
      </c>
      <c r="I107" s="102">
        <f t="shared" si="68"/>
        <v>-29871.7194068301</v>
      </c>
      <c r="J107" s="102">
        <f t="shared" si="68"/>
        <v>-24193.675755567743</v>
      </c>
      <c r="K107" s="102">
        <f t="shared" si="68"/>
        <v>-17909.249197056346</v>
      </c>
      <c r="L107" s="102">
        <f t="shared" si="68"/>
        <v>-9813.0538861168043</v>
      </c>
      <c r="M107" s="102">
        <f t="shared" si="68"/>
        <v>-2184.2263054647547</v>
      </c>
      <c r="N107" s="102">
        <f t="shared" si="68"/>
        <v>4099.7330751928157</v>
      </c>
      <c r="O107" s="102">
        <f t="shared" si="68"/>
        <v>5478.152101048322</v>
      </c>
      <c r="P107" s="102">
        <f t="shared" si="68"/>
        <v>5954.9982470209425</v>
      </c>
      <c r="Q107" s="102">
        <f t="shared" si="68"/>
        <v>6369.860070097674</v>
      </c>
      <c r="R107" s="102">
        <f t="shared" si="68"/>
        <v>6738.2017900911924</v>
      </c>
      <c r="S107" s="102">
        <f t="shared" si="68"/>
        <v>7067.5971078109906</v>
      </c>
      <c r="T107" s="102">
        <f t="shared" si="68"/>
        <v>7364.6999436284195</v>
      </c>
      <c r="U107" s="102">
        <f t="shared" si="68"/>
        <v>7635.3818018326519</v>
      </c>
      <c r="V107" s="102">
        <f t="shared" si="68"/>
        <v>7884.8514607117577</v>
      </c>
      <c r="W107" s="102">
        <f t="shared" si="68"/>
        <v>8117.7591826618409</v>
      </c>
      <c r="X107" s="102">
        <f t="shared" si="68"/>
        <v>8338.2874616216359</v>
      </c>
      <c r="Y107" s="102">
        <f t="shared" si="68"/>
        <v>8550.2301465179953</v>
      </c>
      <c r="Z107" s="102">
        <f t="shared" si="68"/>
        <v>8757.0616072389003</v>
      </c>
      <c r="AA107" s="102">
        <f t="shared" si="68"/>
        <v>8961.9974487811851</v>
      </c>
    </row>
    <row r="108" spans="3:27" outlineLevel="1" x14ac:dyDescent="0.45">
      <c r="G108" s="37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</row>
    <row r="109" spans="3:27" outlineLevel="1" x14ac:dyDescent="0.45">
      <c r="C109" s="34" t="s">
        <v>10</v>
      </c>
      <c r="D109" s="35" t="s">
        <v>20</v>
      </c>
      <c r="E109" s="103">
        <f t="shared" ref="E109:AA109" si="69">E83+E90</f>
        <v>1219</v>
      </c>
      <c r="F109" s="103">
        <f t="shared" si="69"/>
        <v>331</v>
      </c>
      <c r="G109" s="103">
        <f t="shared" si="69"/>
        <v>-2300</v>
      </c>
      <c r="H109" s="103">
        <f t="shared" si="69"/>
        <v>497.0082249571351</v>
      </c>
      <c r="I109" s="103">
        <f t="shared" si="69"/>
        <v>-1362.335152542837</v>
      </c>
      <c r="J109" s="103">
        <f t="shared" si="69"/>
        <v>4900.0740277576951</v>
      </c>
      <c r="K109" s="103">
        <f t="shared" si="69"/>
        <v>14323.667822689898</v>
      </c>
      <c r="L109" s="103">
        <f t="shared" si="69"/>
        <v>26224.513229709861</v>
      </c>
      <c r="M109" s="103">
        <f t="shared" si="69"/>
        <v>40130.226494878269</v>
      </c>
      <c r="N109" s="103">
        <f t="shared" si="69"/>
        <v>54807.102121442666</v>
      </c>
      <c r="O109" s="103">
        <f t="shared" si="69"/>
        <v>58988.173683036221</v>
      </c>
      <c r="P109" s="103">
        <f t="shared" si="69"/>
        <v>63421.616360941465</v>
      </c>
      <c r="Q109" s="103">
        <f t="shared" si="69"/>
        <v>68310.76644409544</v>
      </c>
      <c r="R109" s="103">
        <f t="shared" si="69"/>
        <v>73698.735689734545</v>
      </c>
      <c r="S109" s="103">
        <f t="shared" si="69"/>
        <v>79631.876558053744</v>
      </c>
      <c r="T109" s="103">
        <f t="shared" si="69"/>
        <v>86160.098787659022</v>
      </c>
      <c r="U109" s="103">
        <f t="shared" si="69"/>
        <v>93337.233359264093</v>
      </c>
      <c r="V109" s="103">
        <f t="shared" si="69"/>
        <v>101221.44900744235</v>
      </c>
      <c r="W109" s="103">
        <f t="shared" si="69"/>
        <v>109875.72606210095</v>
      </c>
      <c r="X109" s="103">
        <f t="shared" si="69"/>
        <v>119368.39187224914</v>
      </c>
      <c r="Y109" s="103">
        <f t="shared" si="69"/>
        <v>129773.72140990132</v>
      </c>
      <c r="Z109" s="103">
        <f t="shared" si="69"/>
        <v>141172.60590857166</v>
      </c>
      <c r="AA109" s="103">
        <f t="shared" si="69"/>
        <v>153653.29160627691</v>
      </c>
    </row>
    <row r="110" spans="3:27" outlineLevel="1" x14ac:dyDescent="0.45">
      <c r="C110" s="27" t="s">
        <v>13</v>
      </c>
      <c r="D110" s="25" t="s">
        <v>18</v>
      </c>
      <c r="E110" s="28" t="str">
        <f>IFERROR(E109/D109-1,"N/A")</f>
        <v>N/A</v>
      </c>
      <c r="F110" s="28">
        <f>IFERROR(F109/E109-1,"N/A")</f>
        <v>-0.72846595570139461</v>
      </c>
      <c r="G110" s="28">
        <f>IFERROR(G109/F109-1,"N/A")</f>
        <v>-7.9486404833836861</v>
      </c>
      <c r="H110" s="28">
        <f>IFERROR(H109/G109-1,"N/A")</f>
        <v>-1.2160905325900586</v>
      </c>
      <c r="I110" s="28">
        <f t="shared" ref="I110:AA110" si="70">IFERROR(I109/H109-1,"N/A")</f>
        <v>-3.7410716445594696</v>
      </c>
      <c r="J110" s="28">
        <f t="shared" si="70"/>
        <v>-4.5968197830112274</v>
      </c>
      <c r="K110" s="28">
        <f t="shared" si="70"/>
        <v>1.9231533526942446</v>
      </c>
      <c r="L110" s="28">
        <f t="shared" si="70"/>
        <v>0.83085181493583771</v>
      </c>
      <c r="M110" s="28">
        <f t="shared" si="70"/>
        <v>0.53025629659408002</v>
      </c>
      <c r="N110" s="28">
        <f t="shared" si="70"/>
        <v>0.36573119337957327</v>
      </c>
      <c r="O110" s="28">
        <f t="shared" si="70"/>
        <v>7.6287039448446947E-2</v>
      </c>
      <c r="P110" s="28">
        <f t="shared" si="70"/>
        <v>7.5158161392276046E-2</v>
      </c>
      <c r="Q110" s="28">
        <f t="shared" si="70"/>
        <v>7.7089648036233083E-2</v>
      </c>
      <c r="R110" s="28">
        <f t="shared" si="70"/>
        <v>7.8874378463438033E-2</v>
      </c>
      <c r="S110" s="28">
        <f t="shared" si="70"/>
        <v>8.0505327707346641E-2</v>
      </c>
      <c r="T110" s="28">
        <f t="shared" si="70"/>
        <v>8.1980012424371695E-2</v>
      </c>
      <c r="U110" s="28">
        <f t="shared" si="70"/>
        <v>8.3299980763637205E-2</v>
      </c>
      <c r="V110" s="28">
        <f t="shared" si="70"/>
        <v>8.4470209416119602E-2</v>
      </c>
      <c r="W110" s="28">
        <f t="shared" si="70"/>
        <v>8.5498450570711482E-2</v>
      </c>
      <c r="X110" s="28">
        <f t="shared" si="70"/>
        <v>8.6394567302181091E-2</v>
      </c>
      <c r="Y110" s="28">
        <f t="shared" si="70"/>
        <v>8.7169889569997938E-2</v>
      </c>
      <c r="Z110" s="28">
        <f t="shared" si="70"/>
        <v>8.7836615724889322E-2</v>
      </c>
      <c r="AA110" s="28">
        <f t="shared" si="70"/>
        <v>8.8407277158205844E-2</v>
      </c>
    </row>
    <row r="111" spans="3:27" x14ac:dyDescent="0.45">
      <c r="C111" s="27" t="s">
        <v>97</v>
      </c>
      <c r="D111" s="25" t="s">
        <v>18</v>
      </c>
      <c r="E111" s="28">
        <f>E109/E80</f>
        <v>0.41168524147247554</v>
      </c>
      <c r="F111" s="28">
        <f>F109/F80</f>
        <v>0.12633587786259542</v>
      </c>
      <c r="G111" s="28">
        <f>G109/G80</f>
        <v>-0.71852546079350199</v>
      </c>
      <c r="H111" s="28">
        <f>H109/H80</f>
        <v>3.4284488374000791E-2</v>
      </c>
      <c r="I111" s="28">
        <f t="shared" ref="I111:AA111" si="71">I109/I80</f>
        <v>-4.3010429907023043E-2</v>
      </c>
      <c r="J111" s="28">
        <f t="shared" si="71"/>
        <v>0.12022151107053843</v>
      </c>
      <c r="K111" s="28">
        <f t="shared" si="71"/>
        <v>0.28709463811311031</v>
      </c>
      <c r="L111" s="28">
        <f t="shared" si="71"/>
        <v>0.45766486704007014</v>
      </c>
      <c r="M111" s="28">
        <f t="shared" si="71"/>
        <v>0.59695122592396255</v>
      </c>
      <c r="N111" s="28">
        <f t="shared" si="71"/>
        <v>0.72858279812019344</v>
      </c>
      <c r="O111" s="28">
        <f t="shared" si="71"/>
        <v>0.71439942974467607</v>
      </c>
      <c r="P111" s="28">
        <f t="shared" si="71"/>
        <v>0.70401235753983682</v>
      </c>
      <c r="Q111" s="28">
        <f t="shared" si="71"/>
        <v>0.69571067844180368</v>
      </c>
      <c r="R111" s="28">
        <f t="shared" si="71"/>
        <v>0.68930818068941191</v>
      </c>
      <c r="S111" s="28">
        <f t="shared" si="71"/>
        <v>0.68463436789419307</v>
      </c>
      <c r="T111" s="28">
        <f t="shared" si="71"/>
        <v>0.68153332797972077</v>
      </c>
      <c r="U111" s="28">
        <f t="shared" si="71"/>
        <v>0.67986266809393914</v>
      </c>
      <c r="V111" s="28">
        <f t="shared" si="71"/>
        <v>0.67949251003658662</v>
      </c>
      <c r="W111" s="28">
        <f t="shared" si="71"/>
        <v>0.68030454193140932</v>
      </c>
      <c r="X111" s="28">
        <f t="shared" si="71"/>
        <v>0.68219112281019079</v>
      </c>
      <c r="Y111" s="28">
        <f t="shared" si="71"/>
        <v>0.68505443749031314</v>
      </c>
      <c r="Z111" s="28">
        <f t="shared" si="71"/>
        <v>0.68880569965348992</v>
      </c>
      <c r="AA111" s="28">
        <f t="shared" si="71"/>
        <v>0.69336440140666433</v>
      </c>
    </row>
  </sheetData>
  <pageMargins left="0.75" right="0.75" top="1" bottom="1" header="0.5" footer="0.5"/>
  <pageSetup scale="40" orientation="portrait" horizontalDpi="200" verticalDpi="200" r:id="rId1"/>
  <headerFooter alignWithMargins="0"/>
  <rowBreaks count="2" manualBreakCount="2">
    <brk id="27" max="27" man="1"/>
    <brk id="77" max="27" man="1"/>
  </rowBreaks>
  <colBreaks count="1" manualBreakCount="1">
    <brk id="16" max="108" man="1"/>
  </col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4A64E9-4002-4E5D-9924-EB0C1553EC53}">
  <sheetPr>
    <pageSetUpPr autoPageBreaks="0"/>
  </sheetPr>
  <dimension ref="B2:AA93"/>
  <sheetViews>
    <sheetView showGridLines="0" zoomScaleNormal="100" workbookViewId="0">
      <pane xSplit="4" topLeftCell="E1" activePane="topRight" state="frozen"/>
      <selection pane="topRight" activeCell="B2" sqref="B2"/>
    </sheetView>
  </sheetViews>
  <sheetFormatPr defaultColWidth="9.15234375" defaultRowHeight="15.9" outlineLevelRow="1" x14ac:dyDescent="0.45"/>
  <cols>
    <col min="1" max="2" width="2.69140625" style="5" customWidth="1"/>
    <col min="3" max="3" width="39.53515625" style="5" bestFit="1" customWidth="1"/>
    <col min="4" max="4" width="14.69140625" style="5" customWidth="1"/>
    <col min="5" max="27" width="12.69140625" style="5" customWidth="1"/>
    <col min="28" max="28" width="2.69140625" style="5" customWidth="1"/>
    <col min="29" max="16384" width="9.15234375" style="5"/>
  </cols>
  <sheetData>
    <row r="2" spans="2:18" ht="18.45" x14ac:dyDescent="0.5">
      <c r="B2" s="85" t="str">
        <f>"Discounted Cash Flow Analysis - "&amp;Div_3&amp;" (Unlevered DCF)"</f>
        <v>Discounted Cash Flow Analysis - Space (Unlevered DCF)</v>
      </c>
    </row>
    <row r="3" spans="2:18" x14ac:dyDescent="0.45">
      <c r="B3" s="116" t="s">
        <v>198</v>
      </c>
    </row>
    <row r="5" spans="2:18" x14ac:dyDescent="0.4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spans="2:18" x14ac:dyDescent="0.45">
      <c r="B6" s="8" t="str">
        <f>Div_3&amp;" - DCF Assumptions &amp; Output:"</f>
        <v>Space - DCF Assumptions &amp; Output:</v>
      </c>
      <c r="C6" s="8"/>
      <c r="D6" s="8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</row>
    <row r="7" spans="2:18" outlineLevel="1" x14ac:dyDescent="0.45"/>
    <row r="8" spans="2:18" outlineLevel="1" x14ac:dyDescent="0.45">
      <c r="C8" s="116" t="s">
        <v>194</v>
      </c>
      <c r="D8" s="26" t="s">
        <v>36</v>
      </c>
      <c r="E8" s="36" t="s">
        <v>320</v>
      </c>
      <c r="G8" s="10" t="s">
        <v>14</v>
      </c>
      <c r="H8" s="87"/>
      <c r="I8" s="87"/>
      <c r="J8" s="87"/>
      <c r="L8" s="10" t="s">
        <v>66</v>
      </c>
      <c r="M8" s="87"/>
      <c r="N8" s="87"/>
      <c r="O8" s="87"/>
    </row>
    <row r="9" spans="2:18" outlineLevel="1" x14ac:dyDescent="0.45">
      <c r="F9" s="214"/>
    </row>
    <row r="10" spans="2:18" outlineLevel="1" x14ac:dyDescent="0.45">
      <c r="C10" s="5" t="s">
        <v>209</v>
      </c>
      <c r="D10" s="25" t="s">
        <v>210</v>
      </c>
      <c r="E10" s="13">
        <f>YEARFRAC($G$29,$AA$29)</f>
        <v>20</v>
      </c>
      <c r="F10" s="77"/>
      <c r="G10" s="17" t="s">
        <v>232</v>
      </c>
    </row>
    <row r="11" spans="2:18" outlineLevel="1" x14ac:dyDescent="0.45">
      <c r="G11" s="14" t="str">
        <f>WACC!$B$25</f>
        <v>Satellite Companies:</v>
      </c>
      <c r="J11" s="119">
        <f>STLK_Comps!V17</f>
        <v>14.71</v>
      </c>
      <c r="L11" s="5" t="s">
        <v>62</v>
      </c>
      <c r="O11" s="89">
        <v>0.02</v>
      </c>
    </row>
    <row r="12" spans="2:18" outlineLevel="1" x14ac:dyDescent="0.45">
      <c r="C12" s="246" t="s">
        <v>52</v>
      </c>
      <c r="D12" s="25" t="s">
        <v>18</v>
      </c>
      <c r="E12" s="245">
        <f>Control!E88</f>
        <v>0.14017151654187768</v>
      </c>
      <c r="G12" s="14" t="str">
        <f>WACC!$B$26</f>
        <v>High-Growth Telecoms:</v>
      </c>
      <c r="J12" s="119">
        <f>STLK_Comps!V31</f>
        <v>5.3250000000000002</v>
      </c>
    </row>
    <row r="13" spans="2:18" outlineLevel="1" x14ac:dyDescent="0.45">
      <c r="C13" s="246" t="s">
        <v>231</v>
      </c>
      <c r="D13" s="25" t="s">
        <v>18</v>
      </c>
      <c r="E13" s="245">
        <f>Control!E89</f>
        <v>0.06</v>
      </c>
      <c r="G13" s="14" t="str">
        <f>WACC!$B$27</f>
        <v>Mature Telecoms:</v>
      </c>
      <c r="J13" s="119">
        <f>STLK_Comps!V45</f>
        <v>5.4749999999999996</v>
      </c>
    </row>
    <row r="14" spans="2:18" outlineLevel="1" x14ac:dyDescent="0.45">
      <c r="C14" s="246" t="s">
        <v>53</v>
      </c>
      <c r="D14" s="25" t="s">
        <v>18</v>
      </c>
      <c r="E14" s="245">
        <f>Control!E90</f>
        <v>8.017151654187768E-2</v>
      </c>
    </row>
    <row r="15" spans="2:18" outlineLevel="1" x14ac:dyDescent="0.45">
      <c r="G15" s="17" t="s">
        <v>5</v>
      </c>
      <c r="L15" s="17" t="s">
        <v>7</v>
      </c>
      <c r="Q15" s="86"/>
      <c r="R15" s="86"/>
    </row>
    <row r="16" spans="2:18" outlineLevel="1" x14ac:dyDescent="0.45">
      <c r="G16" s="14" t="str">
        <f>Control!$C$26</f>
        <v>Elon</v>
      </c>
      <c r="J16" s="88">
        <v>10.216220698212362</v>
      </c>
      <c r="L16" s="14" t="str">
        <f>Control!$C$26</f>
        <v>Elon</v>
      </c>
      <c r="O16" s="89">
        <v>1.4999999999999999E-2</v>
      </c>
    </row>
    <row r="17" spans="2:27" outlineLevel="1" x14ac:dyDescent="0.45">
      <c r="G17" s="14" t="str">
        <f>Control!$C$27</f>
        <v>Optimistic</v>
      </c>
      <c r="J17" s="88">
        <v>9.442377063322466</v>
      </c>
      <c r="L17" s="14" t="str">
        <f>Control!$C$27</f>
        <v>Optimistic</v>
      </c>
      <c r="O17" s="89">
        <v>0.01</v>
      </c>
      <c r="Q17" s="11"/>
      <c r="R17" s="78"/>
    </row>
    <row r="18" spans="2:27" outlineLevel="1" x14ac:dyDescent="0.45">
      <c r="G18" s="15" t="str">
        <f>Control!$C$28</f>
        <v>Realistic</v>
      </c>
      <c r="H18" s="16"/>
      <c r="I18" s="16"/>
      <c r="J18" s="96">
        <v>8.7713653092036221</v>
      </c>
      <c r="L18" s="15" t="str">
        <f>Control!$C$28</f>
        <v>Realistic</v>
      </c>
      <c r="M18" s="16"/>
      <c r="N18" s="16"/>
      <c r="O18" s="94">
        <v>5.0000000000000001E-3</v>
      </c>
      <c r="R18" s="90"/>
    </row>
    <row r="19" spans="2:27" outlineLevel="1" x14ac:dyDescent="0.45">
      <c r="G19" s="17" t="s">
        <v>58</v>
      </c>
      <c r="J19" s="97">
        <f>INDEX(J16:J18,MATCH(Scenario,$G16:$G18,0))</f>
        <v>9.442377063322466</v>
      </c>
      <c r="L19" s="17" t="s">
        <v>57</v>
      </c>
      <c r="O19" s="95">
        <f>_xlfn.XLOOKUP(Scenario,$L16:$L18,O16:O18)</f>
        <v>0.01</v>
      </c>
      <c r="R19" s="79"/>
    </row>
    <row r="20" spans="2:27" outlineLevel="1" x14ac:dyDescent="0.45"/>
    <row r="21" spans="2:27" outlineLevel="1" x14ac:dyDescent="0.45">
      <c r="G21" s="5" t="s">
        <v>6</v>
      </c>
      <c r="J21" s="107">
        <f>AA88*J19</f>
        <v>596382.19103296229</v>
      </c>
      <c r="L21" s="5" t="s">
        <v>6</v>
      </c>
      <c r="O21" s="104">
        <f>AA78*(1+O19)/(E14-O19)</f>
        <v>597077.0948925307</v>
      </c>
      <c r="R21" s="91"/>
    </row>
    <row r="22" spans="2:27" outlineLevel="1" x14ac:dyDescent="0.45">
      <c r="G22" s="5" t="s">
        <v>8</v>
      </c>
      <c r="I22" s="11"/>
      <c r="J22" s="109">
        <f>(J21*E14-AA78)/(AA78+J21)</f>
        <v>9.9235536595565828E-3</v>
      </c>
      <c r="L22" s="5" t="s">
        <v>9</v>
      </c>
      <c r="O22" s="108">
        <f>O21/AA88</f>
        <v>9.4533793104778301</v>
      </c>
      <c r="R22" s="91"/>
    </row>
    <row r="23" spans="2:27" outlineLevel="1" x14ac:dyDescent="0.45">
      <c r="R23" s="80"/>
    </row>
    <row r="24" spans="2:27" outlineLevel="1" x14ac:dyDescent="0.45">
      <c r="G24" s="14" t="s">
        <v>15</v>
      </c>
      <c r="J24" s="105">
        <f>J21*$AA84</f>
        <v>73942.09248667986</v>
      </c>
      <c r="L24" s="14" t="str">
        <f>$G$24</f>
        <v>(+) PV of Terminal Value:</v>
      </c>
      <c r="O24" s="105">
        <f>O21*$AA84</f>
        <v>74028.249729847288</v>
      </c>
      <c r="R24" s="18"/>
    </row>
    <row r="25" spans="2:27" outlineLevel="1" x14ac:dyDescent="0.45">
      <c r="G25" s="15" t="s">
        <v>16</v>
      </c>
      <c r="H25" s="16"/>
      <c r="I25" s="16"/>
      <c r="J25" s="106">
        <f>SUM($H$86:$AA$86)</f>
        <v>30513.629530284146</v>
      </c>
      <c r="L25" s="15" t="str">
        <f>$G$25</f>
        <v>(+) Sum of PV of Free Cash Flows:</v>
      </c>
      <c r="M25" s="16"/>
      <c r="N25" s="16"/>
      <c r="O25" s="106">
        <f>SUM($H$86:$AA$86)</f>
        <v>30513.629530284146</v>
      </c>
      <c r="R25" s="81"/>
    </row>
    <row r="26" spans="2:27" outlineLevel="1" x14ac:dyDescent="0.45">
      <c r="G26" s="82" t="s">
        <v>12</v>
      </c>
      <c r="H26" s="83"/>
      <c r="I26" s="83"/>
      <c r="J26" s="121">
        <f>SUM(J24:J25)</f>
        <v>104455.72201696401</v>
      </c>
      <c r="L26" s="82" t="str">
        <f>$G$26</f>
        <v>Implied Enterprise Value:</v>
      </c>
      <c r="M26" s="83"/>
      <c r="N26" s="83"/>
      <c r="O26" s="121">
        <f>SUM(O24:O25)</f>
        <v>104541.87926013143</v>
      </c>
    </row>
    <row r="27" spans="2:27" x14ac:dyDescent="0.45">
      <c r="G27" s="13"/>
      <c r="I27" s="20"/>
      <c r="J27" s="13"/>
      <c r="K27" s="13"/>
      <c r="M27" s="13"/>
      <c r="N27" s="13"/>
      <c r="O27" s="13"/>
      <c r="P27" s="13"/>
    </row>
    <row r="28" spans="2:27" x14ac:dyDescent="0.45">
      <c r="B28" s="7"/>
      <c r="C28" s="7"/>
      <c r="D28" s="7"/>
      <c r="E28" s="21" t="str">
        <f>Control!$E$131</f>
        <v>Historical:</v>
      </c>
      <c r="F28" s="21"/>
      <c r="G28" s="22"/>
      <c r="H28" s="21" t="str">
        <f>Control!$H$131</f>
        <v>Projected:</v>
      </c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</row>
    <row r="29" spans="2:27" x14ac:dyDescent="0.45">
      <c r="B29" s="8" t="str">
        <f>Div_3&amp;" Drivers:"</f>
        <v>Space Drivers:</v>
      </c>
      <c r="C29" s="8"/>
      <c r="D29" s="24" t="str">
        <f>Control!$D$132</f>
        <v>Units:</v>
      </c>
      <c r="E29" s="2">
        <f>Control!$E$132</f>
        <v>45291</v>
      </c>
      <c r="F29" s="2">
        <f>Control!$F$132</f>
        <v>45657</v>
      </c>
      <c r="G29" s="3">
        <f>Control!$G$132</f>
        <v>46022</v>
      </c>
      <c r="H29" s="2">
        <f>Control!$H$132</f>
        <v>46387</v>
      </c>
      <c r="I29" s="4">
        <f>Control!$I$132</f>
        <v>46752</v>
      </c>
      <c r="J29" s="4">
        <f>Control!$J$132</f>
        <v>47118</v>
      </c>
      <c r="K29" s="4">
        <f>Control!$K$132</f>
        <v>47483</v>
      </c>
      <c r="L29" s="4">
        <f>Control!$L$132</f>
        <v>47848</v>
      </c>
      <c r="M29" s="4">
        <f>Control!$M$132</f>
        <v>48213</v>
      </c>
      <c r="N29" s="4">
        <f>Control!$N$132</f>
        <v>48579</v>
      </c>
      <c r="O29" s="4">
        <f>Control!$O$132</f>
        <v>48944</v>
      </c>
      <c r="P29" s="4">
        <f>Control!$P$132</f>
        <v>49309</v>
      </c>
      <c r="Q29" s="4">
        <f>Control!$Q$132</f>
        <v>49674</v>
      </c>
      <c r="R29" s="4">
        <f>Control!$R$132</f>
        <v>50040</v>
      </c>
      <c r="S29" s="4">
        <f>Control!$S$132</f>
        <v>50405</v>
      </c>
      <c r="T29" s="4">
        <f>Control!$T$132</f>
        <v>50770</v>
      </c>
      <c r="U29" s="4">
        <f>Control!$U$132</f>
        <v>51135</v>
      </c>
      <c r="V29" s="4">
        <f>Control!$V$132</f>
        <v>51501</v>
      </c>
      <c r="W29" s="4">
        <f>Control!$W$132</f>
        <v>51866</v>
      </c>
      <c r="X29" s="4">
        <f>Control!$X$132</f>
        <v>52231</v>
      </c>
      <c r="Y29" s="4">
        <f>Control!$Y$132</f>
        <v>52596</v>
      </c>
      <c r="Z29" s="4">
        <f>Control!$Z$132</f>
        <v>52962</v>
      </c>
      <c r="AA29" s="4">
        <f>Control!$AA$132</f>
        <v>53327</v>
      </c>
    </row>
    <row r="30" spans="2:27" outlineLevel="1" x14ac:dyDescent="0.45">
      <c r="B30" s="130"/>
      <c r="C30" s="131"/>
      <c r="D30" s="131"/>
      <c r="E30" s="131"/>
      <c r="F30" s="131"/>
      <c r="G30" s="131"/>
      <c r="H30" s="131"/>
      <c r="I30" s="131"/>
      <c r="J30" s="131"/>
      <c r="K30" s="131"/>
      <c r="L30" s="131"/>
      <c r="M30" s="131"/>
      <c r="N30" s="131"/>
      <c r="O30" s="131"/>
      <c r="P30" s="131"/>
      <c r="Q30" s="131"/>
      <c r="R30" s="131"/>
      <c r="S30" s="131"/>
      <c r="T30" s="131"/>
      <c r="U30" s="131"/>
      <c r="V30" s="131"/>
      <c r="W30" s="131"/>
      <c r="X30" s="131"/>
      <c r="Y30" s="131"/>
      <c r="Z30" s="131"/>
      <c r="AA30" s="131"/>
    </row>
    <row r="31" spans="2:27" outlineLevel="1" x14ac:dyDescent="0.45">
      <c r="C31" s="5" t="s">
        <v>367</v>
      </c>
      <c r="D31" s="25" t="s">
        <v>321</v>
      </c>
      <c r="E31" s="254">
        <v>33</v>
      </c>
      <c r="F31" s="254">
        <v>45</v>
      </c>
      <c r="G31" s="254">
        <v>42</v>
      </c>
      <c r="H31" s="98">
        <f>G31*(1+H32)</f>
        <v>50.4</v>
      </c>
      <c r="I31" s="98">
        <f t="shared" ref="I31:AA31" si="0">H31*(1+I32)</f>
        <v>60.082105263157892</v>
      </c>
      <c r="J31" s="98">
        <f t="shared" si="0"/>
        <v>71.14986149584486</v>
      </c>
      <c r="K31" s="98">
        <f t="shared" si="0"/>
        <v>83.694705496428028</v>
      </c>
      <c r="L31" s="98">
        <f t="shared" si="0"/>
        <v>97.790655895826433</v>
      </c>
      <c r="M31" s="98">
        <f t="shared" si="0"/>
        <v>113.48862960541962</v>
      </c>
      <c r="N31" s="98">
        <f t="shared" si="0"/>
        <v>130.81057833466787</v>
      </c>
      <c r="O31" s="98">
        <f t="shared" si="0"/>
        <v>149.74368835679087</v>
      </c>
      <c r="P31" s="98">
        <f t="shared" si="0"/>
        <v>170.23492992140436</v>
      </c>
      <c r="Q31" s="98">
        <f t="shared" si="0"/>
        <v>192.18627614811177</v>
      </c>
      <c r="R31" s="98">
        <f t="shared" si="0"/>
        <v>215.45093062919901</v>
      </c>
      <c r="S31" s="98">
        <f t="shared" si="0"/>
        <v>239.83090435829257</v>
      </c>
      <c r="T31" s="98">
        <f t="shared" si="0"/>
        <v>265.07626271179709</v>
      </c>
      <c r="U31" s="98">
        <f t="shared" si="0"/>
        <v>290.88631987057732</v>
      </c>
      <c r="V31" s="98">
        <f t="shared" si="0"/>
        <v>316.91299059583952</v>
      </c>
      <c r="W31" s="98">
        <f t="shared" si="0"/>
        <v>342.76641877602646</v>
      </c>
      <c r="X31" s="98">
        <f t="shared" si="0"/>
        <v>368.02289173847049</v>
      </c>
      <c r="Y31" s="98">
        <f t="shared" si="0"/>
        <v>392.23492408968571</v>
      </c>
      <c r="Z31" s="98">
        <f t="shared" si="0"/>
        <v>414.94326180014116</v>
      </c>
      <c r="AA31" s="98">
        <f t="shared" si="0"/>
        <v>435.69042489014822</v>
      </c>
    </row>
    <row r="32" spans="2:27" outlineLevel="1" x14ac:dyDescent="0.45">
      <c r="C32" s="14" t="s">
        <v>13</v>
      </c>
      <c r="D32" s="25" t="s">
        <v>18</v>
      </c>
      <c r="E32" s="12">
        <f>E31/28-1</f>
        <v>0.1785714285714286</v>
      </c>
      <c r="F32" s="12">
        <f>IFERROR(F31/E31-1, "N/A")</f>
        <v>0.36363636363636354</v>
      </c>
      <c r="G32" s="12">
        <f>IFERROR(G31/F31-1, "N/A")</f>
        <v>-6.6666666666666652E-2</v>
      </c>
      <c r="H32" s="275">
        <f>Control!$E$92</f>
        <v>0.2</v>
      </c>
      <c r="I32" s="218">
        <f>H32-(Control!$E$92-Control!$E$97)/(SPC!$E$10-1)</f>
        <v>0.19210526315789475</v>
      </c>
      <c r="J32" s="218">
        <f>I32-(Control!$E$92-Control!$E$97)/(SPC!$E$10-1)</f>
        <v>0.18421052631578949</v>
      </c>
      <c r="K32" s="218">
        <f>J32-(Control!$E$92-Control!$E$97)/(SPC!$E$10-1)</f>
        <v>0.17631578947368423</v>
      </c>
      <c r="L32" s="218">
        <f>K32-(Control!$E$92-Control!$E$97)/(SPC!$E$10-1)</f>
        <v>0.16842105263157897</v>
      </c>
      <c r="M32" s="218">
        <f>L32-(Control!$E$92-Control!$E$97)/(SPC!$E$10-1)</f>
        <v>0.16052631578947371</v>
      </c>
      <c r="N32" s="218">
        <f>M32-(Control!$E$92-Control!$E$97)/(SPC!$E$10-1)</f>
        <v>0.15263157894736845</v>
      </c>
      <c r="O32" s="218">
        <f>N32-(Control!$E$92-Control!$E$97)/(SPC!$E$10-1)</f>
        <v>0.14473684210526319</v>
      </c>
      <c r="P32" s="218">
        <f>O32-(Control!$E$92-Control!$E$97)/(SPC!$E$10-1)</f>
        <v>0.13684210526315793</v>
      </c>
      <c r="Q32" s="218">
        <f>P32-(Control!$E$92-Control!$E$97)/(SPC!$E$10-1)</f>
        <v>0.12894736842105267</v>
      </c>
      <c r="R32" s="218">
        <f>Q32-(Control!$E$92-Control!$E$97)/(SPC!$E$10-1)</f>
        <v>0.12105263157894741</v>
      </c>
      <c r="S32" s="218">
        <f>R32-(Control!$E$92-Control!$E$97)/(SPC!$E$10-1)</f>
        <v>0.11315789473684215</v>
      </c>
      <c r="T32" s="218">
        <f>S32-(Control!$E$92-Control!$E$97)/(SPC!$E$10-1)</f>
        <v>0.10526315789473689</v>
      </c>
      <c r="U32" s="218">
        <f>T32-(Control!$E$92-Control!$E$97)/(SPC!$E$10-1)</f>
        <v>9.7368421052631632E-2</v>
      </c>
      <c r="V32" s="218">
        <f>U32-(Control!$E$92-Control!$E$97)/(SPC!$E$10-1)</f>
        <v>8.9473684210526372E-2</v>
      </c>
      <c r="W32" s="218">
        <f>V32-(Control!$E$92-Control!$E$97)/(SPC!$E$10-1)</f>
        <v>8.1578947368421112E-2</v>
      </c>
      <c r="X32" s="218">
        <f>W32-(Control!$E$92-Control!$E$97)/(SPC!$E$10-1)</f>
        <v>7.3684210526315852E-2</v>
      </c>
      <c r="Y32" s="218">
        <f>X32-(Control!$E$92-Control!$E$97)/(SPC!$E$10-1)</f>
        <v>6.5789473684210592E-2</v>
      </c>
      <c r="Z32" s="218">
        <f>Y32-(Control!$E$92-Control!$E$97)/(SPC!$E$10-1)</f>
        <v>5.7894736842105325E-2</v>
      </c>
      <c r="AA32" s="218">
        <f>Z32-(Control!$E$92-Control!$E$97)/(SPC!$E$10-1)</f>
        <v>5.0000000000000058E-2</v>
      </c>
    </row>
    <row r="33" spans="3:27" outlineLevel="1" x14ac:dyDescent="0.45">
      <c r="D33" s="25"/>
      <c r="E33" s="92"/>
      <c r="F33" s="133"/>
      <c r="G33" s="133"/>
      <c r="H33" s="133"/>
      <c r="I33" s="17"/>
      <c r="J33" s="17"/>
      <c r="K33" s="17"/>
      <c r="L33" s="17"/>
    </row>
    <row r="34" spans="3:27" outlineLevel="1" x14ac:dyDescent="0.45">
      <c r="C34" s="5" t="s">
        <v>368</v>
      </c>
      <c r="D34" s="25" t="s">
        <v>324</v>
      </c>
      <c r="E34" s="293">
        <f>E37/E31</f>
        <v>107.78787878787878</v>
      </c>
      <c r="F34" s="293">
        <f t="shared" ref="F34:G34" si="1">F37/F31</f>
        <v>84.355555555555554</v>
      </c>
      <c r="G34" s="293">
        <f t="shared" si="1"/>
        <v>97.285714285714292</v>
      </c>
      <c r="H34" s="293">
        <f>G34*(1+H35)</f>
        <v>107.01428571428573</v>
      </c>
      <c r="I34" s="293">
        <f t="shared" ref="I34:AA34" si="2">H34*(1+I35)</f>
        <v>117.32145112781956</v>
      </c>
      <c r="J34" s="293">
        <f t="shared" si="2"/>
        <v>128.18912239018599</v>
      </c>
      <c r="K34" s="293">
        <f t="shared" si="2"/>
        <v>139.59120748699726</v>
      </c>
      <c r="L34" s="293">
        <f t="shared" si="2"/>
        <v>151.4931946516781</v>
      </c>
      <c r="M34" s="293">
        <f t="shared" si="2"/>
        <v>163.85185000484131</v>
      </c>
      <c r="N34" s="293">
        <f t="shared" si="2"/>
        <v>176.61504674206051</v>
      </c>
      <c r="O34" s="293">
        <f t="shared" si="2"/>
        <v>189.72174231607659</v>
      </c>
      <c r="P34" s="293">
        <f t="shared" si="2"/>
        <v>203.10211782678937</v>
      </c>
      <c r="Q34" s="293">
        <f t="shared" si="2"/>
        <v>216.6778909657379</v>
      </c>
      <c r="R34" s="293">
        <f t="shared" si="2"/>
        <v>230.36281039515293</v>
      </c>
      <c r="S34" s="293">
        <f t="shared" si="2"/>
        <v>244.06333543444362</v>
      </c>
      <c r="T34" s="293">
        <f t="shared" si="2"/>
        <v>257.67950046394418</v>
      </c>
      <c r="U34" s="293">
        <f t="shared" si="2"/>
        <v>271.10595864601282</v>
      </c>
      <c r="V34" s="293">
        <f t="shared" si="2"/>
        <v>284.23319453834608</v>
      </c>
      <c r="W34" s="293">
        <f t="shared" si="2"/>
        <v>296.94889008348264</v>
      </c>
      <c r="X34" s="293">
        <f t="shared" si="2"/>
        <v>309.13942346585719</v>
      </c>
      <c r="Y34" s="293">
        <f t="shared" si="2"/>
        <v>320.6914756058971</v>
      </c>
      <c r="Z34" s="293">
        <f t="shared" si="2"/>
        <v>331.49371478420102</v>
      </c>
      <c r="AA34" s="293">
        <f t="shared" si="2"/>
        <v>341.43852622772704</v>
      </c>
    </row>
    <row r="35" spans="3:27" outlineLevel="1" x14ac:dyDescent="0.45">
      <c r="C35" s="14" t="s">
        <v>13</v>
      </c>
      <c r="D35" s="25" t="s">
        <v>18</v>
      </c>
      <c r="E35" s="12" t="str">
        <f>IFERROR(E34/D34-1, "N/A")</f>
        <v>N/A</v>
      </c>
      <c r="F35" s="12">
        <f>IFERROR(F34/E34-1, "N/A")</f>
        <v>-0.21739293412051353</v>
      </c>
      <c r="G35" s="12">
        <f>IFERROR(G34/F34-1, "N/A")</f>
        <v>0.15328164985699244</v>
      </c>
      <c r="H35" s="275">
        <f>Control!$E$99</f>
        <v>0.1</v>
      </c>
      <c r="I35" s="218">
        <f>H35-(Control!$E$99-Control!$E$100)/(SPC!$E$10-1)</f>
        <v>9.6315789473684216E-2</v>
      </c>
      <c r="J35" s="218">
        <f>I35-(Control!$E$99-Control!$E$100)/(SPC!$E$10-1)</f>
        <v>9.2631578947368426E-2</v>
      </c>
      <c r="K35" s="218">
        <f>J35-(Control!$E$99-Control!$E$100)/(SPC!$E$10-1)</f>
        <v>8.8947368421052636E-2</v>
      </c>
      <c r="L35" s="218">
        <f>K35-(Control!$E$99-Control!$E$100)/(SPC!$E$10-1)</f>
        <v>8.5263157894736846E-2</v>
      </c>
      <c r="M35" s="218">
        <f>L35-(Control!$E$99-Control!$E$100)/(SPC!$E$10-1)</f>
        <v>8.1578947368421056E-2</v>
      </c>
      <c r="N35" s="218">
        <f>M35-(Control!$E$99-Control!$E$100)/(SPC!$E$10-1)</f>
        <v>7.7894736842105267E-2</v>
      </c>
      <c r="O35" s="218">
        <f>N35-(Control!$E$99-Control!$E$100)/(SPC!$E$10-1)</f>
        <v>7.4210526315789477E-2</v>
      </c>
      <c r="P35" s="218">
        <f>O35-(Control!$E$99-Control!$E$100)/(SPC!$E$10-1)</f>
        <v>7.0526315789473687E-2</v>
      </c>
      <c r="Q35" s="218">
        <f>P35-(Control!$E$99-Control!$E$100)/(SPC!$E$10-1)</f>
        <v>6.6842105263157897E-2</v>
      </c>
      <c r="R35" s="218">
        <f>Q35-(Control!$E$99-Control!$E$100)/(SPC!$E$10-1)</f>
        <v>6.3157894736842107E-2</v>
      </c>
      <c r="S35" s="218">
        <f>R35-(Control!$E$99-Control!$E$100)/(SPC!$E$10-1)</f>
        <v>5.9473684210526317E-2</v>
      </c>
      <c r="T35" s="218">
        <f>S35-(Control!$E$99-Control!$E$100)/(SPC!$E$10-1)</f>
        <v>5.5789473684210528E-2</v>
      </c>
      <c r="U35" s="218">
        <f>T35-(Control!$E$99-Control!$E$100)/(SPC!$E$10-1)</f>
        <v>5.2105263157894738E-2</v>
      </c>
      <c r="V35" s="218">
        <f>U35-(Control!$E$99-Control!$E$100)/(SPC!$E$10-1)</f>
        <v>4.8421052631578948E-2</v>
      </c>
      <c r="W35" s="218">
        <f>V35-(Control!$E$99-Control!$E$100)/(SPC!$E$10-1)</f>
        <v>4.4736842105263158E-2</v>
      </c>
      <c r="X35" s="218">
        <f>W35-(Control!$E$99-Control!$E$100)/(SPC!$E$10-1)</f>
        <v>4.1052631578947368E-2</v>
      </c>
      <c r="Y35" s="218">
        <f>X35-(Control!$E$99-Control!$E$100)/(SPC!$E$10-1)</f>
        <v>3.7368421052631579E-2</v>
      </c>
      <c r="Z35" s="218">
        <f>Y35-(Control!$E$99-Control!$E$100)/(SPC!$E$10-1)</f>
        <v>3.3684210526315789E-2</v>
      </c>
      <c r="AA35" s="218">
        <f>Z35-(Control!$E$99-Control!$E$100)/(SPC!$E$10-1)</f>
        <v>0.03</v>
      </c>
    </row>
    <row r="36" spans="3:27" outlineLevel="1" x14ac:dyDescent="0.45">
      <c r="D36" s="25"/>
      <c r="E36" s="92"/>
      <c r="F36" s="133"/>
      <c r="G36" s="133"/>
      <c r="H36" s="133"/>
      <c r="I36" s="17"/>
      <c r="J36" s="17"/>
      <c r="K36" s="17"/>
      <c r="L36" s="17"/>
    </row>
    <row r="37" spans="3:27" outlineLevel="1" x14ac:dyDescent="0.45">
      <c r="C37" s="17" t="s">
        <v>322</v>
      </c>
      <c r="D37" s="25" t="s">
        <v>20</v>
      </c>
      <c r="E37" s="292">
        <v>3557</v>
      </c>
      <c r="F37" s="292">
        <v>3796</v>
      </c>
      <c r="G37" s="292">
        <v>4086</v>
      </c>
      <c r="H37" s="102">
        <f>H34*H31</f>
        <v>5393.52</v>
      </c>
      <c r="I37" s="102">
        <f t="shared" ref="I37:AA37" si="3">I34*I31</f>
        <v>7048.9197762880885</v>
      </c>
      <c r="J37" s="102">
        <f t="shared" si="3"/>
        <v>9120.6383033356378</v>
      </c>
      <c r="K37" s="102">
        <f t="shared" si="3"/>
        <v>11683.045000515016</v>
      </c>
      <c r="L37" s="102">
        <f t="shared" si="3"/>
        <v>14814.618868741705</v>
      </c>
      <c r="M37" s="102">
        <f t="shared" si="3"/>
        <v>18595.321915362209</v>
      </c>
      <c r="N37" s="102">
        <f t="shared" si="3"/>
        <v>23103.116406933335</v>
      </c>
      <c r="O37" s="102">
        <f t="shared" si="3"/>
        <v>28409.633455885956</v>
      </c>
      <c r="P37" s="102">
        <f t="shared" si="3"/>
        <v>34575.074795132299</v>
      </c>
      <c r="Q37" s="102">
        <f t="shared" si="3"/>
        <v>41642.516988331758</v>
      </c>
      <c r="R37" s="102">
        <f t="shared" si="3"/>
        <v>49631.881881993417</v>
      </c>
      <c r="S37" s="102">
        <f t="shared" si="3"/>
        <v>58533.930457943927</v>
      </c>
      <c r="T37" s="102">
        <f t="shared" si="3"/>
        <v>68304.718960425103</v>
      </c>
      <c r="U37" s="102">
        <f t="shared" si="3"/>
        <v>78861.014605523596</v>
      </c>
      <c r="V37" s="102">
        <f t="shared" si="3"/>
        <v>90077.191707756298</v>
      </c>
      <c r="W37" s="102">
        <f t="shared" si="3"/>
        <v>101784.10761343126</v>
      </c>
      <c r="X37" s="102">
        <f t="shared" si="3"/>
        <v>113770.38457426835</v>
      </c>
      <c r="Y37" s="102">
        <f t="shared" si="3"/>
        <v>125786.39659048834</v>
      </c>
      <c r="Z37" s="102">
        <f t="shared" si="3"/>
        <v>137551.08327880205</v>
      </c>
      <c r="AA37" s="102">
        <f t="shared" si="3"/>
        <v>148761.49656602441</v>
      </c>
    </row>
    <row r="38" spans="3:27" outlineLevel="1" x14ac:dyDescent="0.45">
      <c r="C38" s="27" t="s">
        <v>13</v>
      </c>
      <c r="D38" s="25" t="s">
        <v>18</v>
      </c>
      <c r="E38" s="28" t="str">
        <f>IFERROR(E37/D37-1, "N/A")</f>
        <v>N/A</v>
      </c>
      <c r="F38" s="28">
        <f>IFERROR(F37/E37-1, "N/A")</f>
        <v>6.7191453472027041E-2</v>
      </c>
      <c r="G38" s="28">
        <f>IFERROR(G37/F37-1, "N/A")</f>
        <v>7.6396206533192901E-2</v>
      </c>
      <c r="H38" s="28">
        <f>IFERROR(H37/G37-1, "N/A")</f>
        <v>0.32000000000000006</v>
      </c>
      <c r="I38" s="28">
        <f t="shared" ref="I38:AA38" si="4">IFERROR(I37/H37-1, "N/A")</f>
        <v>0.30692382271468133</v>
      </c>
      <c r="J38" s="28">
        <f t="shared" si="4"/>
        <v>0.29390581717451481</v>
      </c>
      <c r="K38" s="28">
        <f t="shared" si="4"/>
        <v>0.28094598337950139</v>
      </c>
      <c r="L38" s="28">
        <f t="shared" si="4"/>
        <v>0.26804432132963973</v>
      </c>
      <c r="M38" s="28">
        <f t="shared" si="4"/>
        <v>0.25520083102493074</v>
      </c>
      <c r="N38" s="28">
        <f t="shared" si="4"/>
        <v>0.24241551246537374</v>
      </c>
      <c r="O38" s="28">
        <f t="shared" si="4"/>
        <v>0.22968836565096962</v>
      </c>
      <c r="P38" s="28">
        <f t="shared" si="4"/>
        <v>0.21701939058171749</v>
      </c>
      <c r="Q38" s="28">
        <f t="shared" si="4"/>
        <v>0.20440858725761779</v>
      </c>
      <c r="R38" s="28">
        <f t="shared" si="4"/>
        <v>0.19185595567867053</v>
      </c>
      <c r="S38" s="28">
        <f t="shared" si="4"/>
        <v>0.17936149584487548</v>
      </c>
      <c r="T38" s="28">
        <f t="shared" si="4"/>
        <v>0.16692520775623287</v>
      </c>
      <c r="U38" s="28">
        <f t="shared" si="4"/>
        <v>0.15454709141274225</v>
      </c>
      <c r="V38" s="28">
        <f t="shared" si="4"/>
        <v>0.14222714681440451</v>
      </c>
      <c r="W38" s="28">
        <f t="shared" si="4"/>
        <v>0.12996537396121899</v>
      </c>
      <c r="X38" s="28">
        <f t="shared" si="4"/>
        <v>0.11776177285318545</v>
      </c>
      <c r="Y38" s="28">
        <f t="shared" si="4"/>
        <v>0.1056163434903048</v>
      </c>
      <c r="Z38" s="28">
        <f t="shared" si="4"/>
        <v>9.3529085872576134E-2</v>
      </c>
      <c r="AA38" s="28">
        <f t="shared" si="4"/>
        <v>8.1499999999999906E-2</v>
      </c>
    </row>
    <row r="39" spans="3:27" outlineLevel="1" x14ac:dyDescent="0.45">
      <c r="D39" s="26"/>
      <c r="E39" s="125"/>
      <c r="F39" s="125"/>
      <c r="G39" s="125"/>
      <c r="H39" s="17"/>
      <c r="I39" s="17"/>
      <c r="J39" s="17"/>
      <c r="K39" s="17"/>
      <c r="L39" s="17"/>
      <c r="AA39" s="64"/>
    </row>
    <row r="40" spans="3:27" outlineLevel="1" x14ac:dyDescent="0.45">
      <c r="C40" s="5" t="s">
        <v>87</v>
      </c>
      <c r="D40" s="25" t="s">
        <v>20</v>
      </c>
      <c r="E40" s="100">
        <v>-1669</v>
      </c>
      <c r="F40" s="100">
        <v>-1541</v>
      </c>
      <c r="G40" s="100">
        <v>-1352</v>
      </c>
      <c r="H40" s="101">
        <f>-(1-H41)*H37</f>
        <v>-1779.8616</v>
      </c>
      <c r="I40" s="101">
        <f t="shared" ref="I40:AA40" si="5">-(1-I41)*I37</f>
        <v>-2352.1132306140253</v>
      </c>
      <c r="J40" s="101">
        <f t="shared" si="5"/>
        <v>-3077.0153433884975</v>
      </c>
      <c r="K40" s="101">
        <f t="shared" si="5"/>
        <v>-3984.5332422809124</v>
      </c>
      <c r="L40" s="101">
        <f t="shared" si="5"/>
        <v>-5107.1449258030643</v>
      </c>
      <c r="M40" s="101">
        <f t="shared" si="5"/>
        <v>-6479.001635773574</v>
      </c>
      <c r="N40" s="101">
        <f t="shared" si="5"/>
        <v>-8134.7288822307446</v>
      </c>
      <c r="O40" s="101">
        <f t="shared" si="5"/>
        <v>-10107.848534831013</v>
      </c>
      <c r="P40" s="101">
        <f t="shared" si="5"/>
        <v>-12428.82951846073</v>
      </c>
      <c r="Q40" s="101">
        <f t="shared" si="5"/>
        <v>-15122.808801025763</v>
      </c>
      <c r="R40" s="101">
        <f t="shared" si="5"/>
        <v>-18207.064037762873</v>
      </c>
      <c r="S40" s="101">
        <f t="shared" si="5"/>
        <v>-21688.361601259257</v>
      </c>
      <c r="T40" s="101">
        <f t="shared" si="5"/>
        <v>-25560.344832032806</v>
      </c>
      <c r="U40" s="101">
        <f t="shared" si="5"/>
        <v>-29801.162361455812</v>
      </c>
      <c r="V40" s="101">
        <f t="shared" si="5"/>
        <v>-34371.559993749179</v>
      </c>
      <c r="W40" s="101">
        <f t="shared" si="5"/>
        <v>-39213.666722648333</v>
      </c>
      <c r="X40" s="101">
        <f t="shared" si="5"/>
        <v>-44250.691684412894</v>
      </c>
      <c r="Y40" s="101">
        <f t="shared" si="5"/>
        <v>-49387.71150342343</v>
      </c>
      <c r="Z40" s="101">
        <f t="shared" si="5"/>
        <v>-54513.666162599053</v>
      </c>
      <c r="AA40" s="101">
        <f t="shared" si="5"/>
        <v>-59504.598626409912</v>
      </c>
    </row>
    <row r="41" spans="3:27" outlineLevel="1" x14ac:dyDescent="0.45">
      <c r="C41" s="14" t="s">
        <v>88</v>
      </c>
      <c r="D41" s="25" t="s">
        <v>18</v>
      </c>
      <c r="E41" s="12">
        <f>(E37+E40)/E37</f>
        <v>0.53078436885015468</v>
      </c>
      <c r="F41" s="12">
        <f t="shared" ref="F41:G41" si="6">(F37+F40)/F37</f>
        <v>0.59404636459430982</v>
      </c>
      <c r="G41" s="12">
        <f t="shared" si="6"/>
        <v>0.66911404796867346</v>
      </c>
      <c r="H41" s="275">
        <f>Control!$E$102</f>
        <v>0.67</v>
      </c>
      <c r="I41" s="218">
        <f>H41-(Control!$E$102-Control!$E$103)/(SPC!$E$10-1)</f>
        <v>0.66631578947368419</v>
      </c>
      <c r="J41" s="218">
        <f>I41-(Control!$E$102-Control!$E$103)/(SPC!$E$10-1)</f>
        <v>0.66263157894736835</v>
      </c>
      <c r="K41" s="218">
        <f>J41-(Control!$E$102-Control!$E$103)/(SPC!$E$10-1)</f>
        <v>0.6589473684210525</v>
      </c>
      <c r="L41" s="218">
        <f>K41-(Control!$E$102-Control!$E$103)/(SPC!$E$10-1)</f>
        <v>0.65526315789473666</v>
      </c>
      <c r="M41" s="218">
        <f>L41-(Control!$E$102-Control!$E$103)/(SPC!$E$10-1)</f>
        <v>0.65157894736842081</v>
      </c>
      <c r="N41" s="218">
        <f>M41-(Control!$E$102-Control!$E$103)/(SPC!$E$10-1)</f>
        <v>0.64789473684210497</v>
      </c>
      <c r="O41" s="218">
        <f>N41-(Control!$E$102-Control!$E$103)/(SPC!$E$10-1)</f>
        <v>0.64421052631578912</v>
      </c>
      <c r="P41" s="218">
        <f>O41-(Control!$E$102-Control!$E$103)/(SPC!$E$10-1)</f>
        <v>0.64052631578947328</v>
      </c>
      <c r="Q41" s="218">
        <f>P41-(Control!$E$102-Control!$E$103)/(SPC!$E$10-1)</f>
        <v>0.63684210526315743</v>
      </c>
      <c r="R41" s="218">
        <f>Q41-(Control!$E$102-Control!$E$103)/(SPC!$E$10-1)</f>
        <v>0.63315789473684159</v>
      </c>
      <c r="S41" s="218">
        <f>R41-(Control!$E$102-Control!$E$103)/(SPC!$E$10-1)</f>
        <v>0.62947368421052574</v>
      </c>
      <c r="T41" s="218">
        <f>S41-(Control!$E$102-Control!$E$103)/(SPC!$E$10-1)</f>
        <v>0.6257894736842099</v>
      </c>
      <c r="U41" s="218">
        <f>T41-(Control!$E$102-Control!$E$103)/(SPC!$E$10-1)</f>
        <v>0.62210526315789405</v>
      </c>
      <c r="V41" s="218">
        <f>U41-(Control!$E$102-Control!$E$103)/(SPC!$E$10-1)</f>
        <v>0.61842105263157821</v>
      </c>
      <c r="W41" s="218">
        <f>V41-(Control!$E$102-Control!$E$103)/(SPC!$E$10-1)</f>
        <v>0.61473684210526236</v>
      </c>
      <c r="X41" s="218">
        <f>W41-(Control!$E$102-Control!$E$103)/(SPC!$E$10-1)</f>
        <v>0.61105263157894651</v>
      </c>
      <c r="Y41" s="218">
        <f>X41-(Control!$E$102-Control!$E$103)/(SPC!$E$10-1)</f>
        <v>0.60736842105263067</v>
      </c>
      <c r="Z41" s="218">
        <f>Y41-(Control!$E$102-Control!$E$103)/(SPC!$E$10-1)</f>
        <v>0.60368421052631482</v>
      </c>
      <c r="AA41" s="218">
        <f>Z41-(Control!$E$102-Control!$E$103)/(SPC!$E$10-1)</f>
        <v>0.59999999999999898</v>
      </c>
    </row>
    <row r="42" spans="3:27" outlineLevel="1" x14ac:dyDescent="0.45">
      <c r="F42" s="37"/>
      <c r="G42" s="12"/>
      <c r="H42" s="17"/>
      <c r="I42" s="17"/>
      <c r="J42" s="17"/>
      <c r="K42" s="17"/>
      <c r="L42" s="17"/>
    </row>
    <row r="43" spans="3:27" outlineLevel="1" x14ac:dyDescent="0.45">
      <c r="C43" s="5" t="s">
        <v>89</v>
      </c>
      <c r="D43" s="25" t="s">
        <v>20</v>
      </c>
      <c r="E43" s="101">
        <f>-1538-351</f>
        <v>-1889</v>
      </c>
      <c r="F43" s="101">
        <f>-1835-375</f>
        <v>-2210</v>
      </c>
      <c r="G43" s="101">
        <f>-3004-349</f>
        <v>-3353</v>
      </c>
      <c r="H43" s="101">
        <f>-H44*H37</f>
        <v>-3775.4639999999999</v>
      </c>
      <c r="I43" s="101">
        <f t="shared" ref="I43:AA43" si="7">-I44*I37</f>
        <v>-4748.745954551975</v>
      </c>
      <c r="J43" s="101">
        <f t="shared" si="7"/>
        <v>-5904.4132174225442</v>
      </c>
      <c r="K43" s="101">
        <f t="shared" si="7"/>
        <v>-7255.7858424251153</v>
      </c>
      <c r="L43" s="101">
        <f t="shared" si="7"/>
        <v>-8810.7996429884897</v>
      </c>
      <c r="M43" s="101">
        <f t="shared" si="7"/>
        <v>-10569.972457153257</v>
      </c>
      <c r="N43" s="101">
        <f t="shared" si="7"/>
        <v>-12524.320999548074</v>
      </c>
      <c r="O43" s="101">
        <f t="shared" si="7"/>
        <v>-14653.389887772761</v>
      </c>
      <c r="P43" s="101">
        <f t="shared" si="7"/>
        <v>-16923.589241827922</v>
      </c>
      <c r="Q43" s="101">
        <f t="shared" si="7"/>
        <v>-19287.06049985893</v>
      </c>
      <c r="R43" s="101">
        <f t="shared" si="7"/>
        <v>-21681.295769502398</v>
      </c>
      <c r="S43" s="101">
        <f t="shared" si="7"/>
        <v>-24029.718819576996</v>
      </c>
      <c r="T43" s="101">
        <f t="shared" si="7"/>
        <v>-26243.392021637035</v>
      </c>
      <c r="U43" s="101">
        <f t="shared" si="7"/>
        <v>-28223.942069345314</v>
      </c>
      <c r="V43" s="101">
        <f t="shared" si="7"/>
        <v>-29867.700408361332</v>
      </c>
      <c r="W43" s="101">
        <f t="shared" si="7"/>
        <v>-31070.938113573793</v>
      </c>
      <c r="X43" s="101">
        <f t="shared" si="7"/>
        <v>-31735.949381243325</v>
      </c>
      <c r="Y43" s="101">
        <f t="shared" si="7"/>
        <v>-31777.615980755007</v>
      </c>
      <c r="Z43" s="101">
        <f t="shared" si="7"/>
        <v>-31129.98200520263</v>
      </c>
      <c r="AA43" s="101">
        <f t="shared" si="7"/>
        <v>-29752.299313204949</v>
      </c>
    </row>
    <row r="44" spans="3:27" outlineLevel="1" x14ac:dyDescent="0.45">
      <c r="C44" s="14" t="s">
        <v>90</v>
      </c>
      <c r="D44" s="25" t="s">
        <v>18</v>
      </c>
      <c r="E44" s="12">
        <f>-E43/E37</f>
        <v>0.53106550463874047</v>
      </c>
      <c r="F44" s="12">
        <f t="shared" ref="F44:G44" si="8">-F43/F37</f>
        <v>0.5821917808219178</v>
      </c>
      <c r="G44" s="12">
        <f t="shared" si="8"/>
        <v>0.82060695056289767</v>
      </c>
      <c r="H44" s="275">
        <f>Control!$E$105</f>
        <v>0.7</v>
      </c>
      <c r="I44" s="218">
        <f>H44-(Control!$E$105-Control!$E$106)/(SPC!$E$10-1)</f>
        <v>0.67368421052631577</v>
      </c>
      <c r="J44" s="218">
        <f>I44-(Control!$E$105-Control!$E$106)/(SPC!$E$10-1)</f>
        <v>0.64736842105263159</v>
      </c>
      <c r="K44" s="218">
        <f>J44-(Control!$E$105-Control!$E$106)/(SPC!$E$10-1)</f>
        <v>0.62105263157894741</v>
      </c>
      <c r="L44" s="218">
        <f>K44-(Control!$E$105-Control!$E$106)/(SPC!$E$10-1)</f>
        <v>0.59473684210526323</v>
      </c>
      <c r="M44" s="218">
        <f>L44-(Control!$E$105-Control!$E$106)/(SPC!$E$10-1)</f>
        <v>0.56842105263157905</v>
      </c>
      <c r="N44" s="218">
        <f>M44-(Control!$E$105-Control!$E$106)/(SPC!$E$10-1)</f>
        <v>0.54210526315789487</v>
      </c>
      <c r="O44" s="218">
        <f>N44-(Control!$E$105-Control!$E$106)/(SPC!$E$10-1)</f>
        <v>0.51578947368421069</v>
      </c>
      <c r="P44" s="218">
        <f>O44-(Control!$E$105-Control!$E$106)/(SPC!$E$10-1)</f>
        <v>0.48947368421052651</v>
      </c>
      <c r="Q44" s="218">
        <f>P44-(Control!$E$105-Control!$E$106)/(SPC!$E$10-1)</f>
        <v>0.46315789473684232</v>
      </c>
      <c r="R44" s="218">
        <f>Q44-(Control!$E$105-Control!$E$106)/(SPC!$E$10-1)</f>
        <v>0.43684210526315814</v>
      </c>
      <c r="S44" s="218">
        <f>R44-(Control!$E$105-Control!$E$106)/(SPC!$E$10-1)</f>
        <v>0.41052631578947396</v>
      </c>
      <c r="T44" s="218">
        <f>S44-(Control!$E$105-Control!$E$106)/(SPC!$E$10-1)</f>
        <v>0.38421052631578978</v>
      </c>
      <c r="U44" s="218">
        <f>T44-(Control!$E$105-Control!$E$106)/(SPC!$E$10-1)</f>
        <v>0.3578947368421056</v>
      </c>
      <c r="V44" s="218">
        <f>U44-(Control!$E$105-Control!$E$106)/(SPC!$E$10-1)</f>
        <v>0.33157894736842142</v>
      </c>
      <c r="W44" s="218">
        <f>V44-(Control!$E$105-Control!$E$106)/(SPC!$E$10-1)</f>
        <v>0.30526315789473724</v>
      </c>
      <c r="X44" s="218">
        <f>W44-(Control!$E$105-Control!$E$106)/(SPC!$E$10-1)</f>
        <v>0.27894736842105305</v>
      </c>
      <c r="Y44" s="218">
        <f>X44-(Control!$E$105-Control!$E$106)/(SPC!$E$10-1)</f>
        <v>0.25263157894736887</v>
      </c>
      <c r="Z44" s="218">
        <f>Y44-(Control!$E$105-Control!$E$106)/(SPC!$E$10-1)</f>
        <v>0.22631578947368466</v>
      </c>
      <c r="AA44" s="218">
        <f>Z44-(Control!$E$105-Control!$E$106)/(SPC!$E$10-1)</f>
        <v>0.20000000000000046</v>
      </c>
    </row>
    <row r="45" spans="3:27" outlineLevel="1" x14ac:dyDescent="0.45">
      <c r="F45" s="37"/>
      <c r="G45" s="12"/>
      <c r="H45" s="17"/>
      <c r="I45" s="17"/>
      <c r="J45" s="17"/>
      <c r="K45" s="17"/>
      <c r="L45" s="17"/>
    </row>
    <row r="46" spans="3:27" outlineLevel="1" x14ac:dyDescent="0.45">
      <c r="C46" s="5" t="s">
        <v>85</v>
      </c>
      <c r="D46" s="25" t="s">
        <v>20</v>
      </c>
      <c r="E46" s="100">
        <v>-1497</v>
      </c>
      <c r="F46" s="100">
        <v>-2032</v>
      </c>
      <c r="G46" s="100">
        <v>-3832</v>
      </c>
      <c r="H46" s="101">
        <f t="shared" ref="H46:AA46" si="9">-H47*H31</f>
        <v>-3678.7200000000003</v>
      </c>
      <c r="I46" s="101">
        <f t="shared" si="9"/>
        <v>-3617.9727157894736</v>
      </c>
      <c r="J46" s="101">
        <f t="shared" si="9"/>
        <v>-3641.7751678670352</v>
      </c>
      <c r="K46" s="101">
        <f t="shared" si="9"/>
        <v>-3748.392927715774</v>
      </c>
      <c r="L46" s="101">
        <f t="shared" si="9"/>
        <v>-3941.7310892505875</v>
      </c>
      <c r="M46" s="101">
        <f t="shared" si="9"/>
        <v>-4231.3964594277522</v>
      </c>
      <c r="N46" s="101">
        <f t="shared" si="9"/>
        <v>-4633.3791230733887</v>
      </c>
      <c r="O46" s="101">
        <f t="shared" si="9"/>
        <v>-5038.7997963423104</v>
      </c>
      <c r="P46" s="101">
        <f t="shared" si="9"/>
        <v>-5441.9037800496944</v>
      </c>
      <c r="Q46" s="101">
        <f t="shared" si="9"/>
        <v>-5836.4418041032977</v>
      </c>
      <c r="R46" s="101">
        <f t="shared" si="9"/>
        <v>-6215.8105213700119</v>
      </c>
      <c r="S46" s="101">
        <f t="shared" si="9"/>
        <v>-6573.2196263487876</v>
      </c>
      <c r="T46" s="101">
        <f t="shared" si="9"/>
        <v>-6901.8806076662268</v>
      </c>
      <c r="U46" s="101">
        <f t="shared" si="9"/>
        <v>-7195.2105334920407</v>
      </c>
      <c r="V46" s="101">
        <f t="shared" si="9"/>
        <v>-7447.0429021642622</v>
      </c>
      <c r="W46" s="101">
        <f t="shared" si="9"/>
        <v>-7651.8365819737801</v>
      </c>
      <c r="X46" s="101">
        <f t="shared" si="9"/>
        <v>-7804.873313613255</v>
      </c>
      <c r="Y46" s="101">
        <f t="shared" si="9"/>
        <v>-7902.434230033421</v>
      </c>
      <c r="Z46" s="101">
        <f t="shared" si="9"/>
        <v>-7941.9464011835871</v>
      </c>
      <c r="AA46" s="101">
        <f t="shared" si="9"/>
        <v>-7922.0915351806279</v>
      </c>
    </row>
    <row r="47" spans="3:27" outlineLevel="1" x14ac:dyDescent="0.45">
      <c r="C47" s="5" t="s">
        <v>323</v>
      </c>
      <c r="D47" s="25" t="s">
        <v>324</v>
      </c>
      <c r="E47" s="294">
        <f>-E46/E$31</f>
        <v>45.363636363636367</v>
      </c>
      <c r="F47" s="294">
        <f>-F46/F$31</f>
        <v>45.155555555555559</v>
      </c>
      <c r="G47" s="294">
        <f>-G46/G$31</f>
        <v>91.238095238095241</v>
      </c>
      <c r="H47" s="294">
        <f>G47*(1+H48)</f>
        <v>72.990476190476201</v>
      </c>
      <c r="I47" s="294">
        <f t="shared" ref="I47:AA47" si="10">H47*(1+I48)</f>
        <v>60.217142857142861</v>
      </c>
      <c r="J47" s="294">
        <f t="shared" si="10"/>
        <v>51.184571428571431</v>
      </c>
      <c r="K47" s="294">
        <f t="shared" si="10"/>
        <v>44.786500000000004</v>
      </c>
      <c r="L47" s="294">
        <f t="shared" si="10"/>
        <v>40.307850000000002</v>
      </c>
      <c r="M47" s="294">
        <f t="shared" si="10"/>
        <v>37.284761250000003</v>
      </c>
      <c r="N47" s="294">
        <f t="shared" si="10"/>
        <v>35.420523187500002</v>
      </c>
      <c r="O47" s="294">
        <f t="shared" si="10"/>
        <v>33.649497028124998</v>
      </c>
      <c r="P47" s="294">
        <f t="shared" si="10"/>
        <v>31.967022176718746</v>
      </c>
      <c r="Q47" s="294">
        <f t="shared" si="10"/>
        <v>30.368671067882808</v>
      </c>
      <c r="R47" s="294">
        <f t="shared" si="10"/>
        <v>28.850237514488665</v>
      </c>
      <c r="S47" s="294">
        <f t="shared" si="10"/>
        <v>27.40772563876423</v>
      </c>
      <c r="T47" s="294">
        <f t="shared" si="10"/>
        <v>26.037339356826017</v>
      </c>
      <c r="U47" s="294">
        <f t="shared" si="10"/>
        <v>24.735472388984714</v>
      </c>
      <c r="V47" s="294">
        <f t="shared" si="10"/>
        <v>23.498698769535476</v>
      </c>
      <c r="W47" s="294">
        <f t="shared" si="10"/>
        <v>22.323763831058702</v>
      </c>
      <c r="X47" s="294">
        <f t="shared" si="10"/>
        <v>21.207575639505766</v>
      </c>
      <c r="Y47" s="294">
        <f t="shared" si="10"/>
        <v>20.147196857530478</v>
      </c>
      <c r="Z47" s="294">
        <f t="shared" si="10"/>
        <v>19.139837014653953</v>
      </c>
      <c r="AA47" s="294">
        <f t="shared" si="10"/>
        <v>18.182845163921254</v>
      </c>
    </row>
    <row r="48" spans="3:27" outlineLevel="1" x14ac:dyDescent="0.45">
      <c r="C48" s="14" t="s">
        <v>13</v>
      </c>
      <c r="D48" s="25" t="s">
        <v>18</v>
      </c>
      <c r="E48" s="12"/>
      <c r="F48" s="12">
        <f>F47/E47-1</f>
        <v>-4.5869516811400945E-3</v>
      </c>
      <c r="G48" s="12">
        <f>G47/F47-1</f>
        <v>1.0205286839145105</v>
      </c>
      <c r="H48" s="38">
        <v>-0.2</v>
      </c>
      <c r="I48" s="38">
        <v>-0.17499999999999999</v>
      </c>
      <c r="J48" s="38">
        <v>-0.15</v>
      </c>
      <c r="K48" s="38">
        <v>-0.125</v>
      </c>
      <c r="L48" s="38">
        <v>-0.1</v>
      </c>
      <c r="M48" s="38">
        <v>-7.4999999999999997E-2</v>
      </c>
      <c r="N48" s="38">
        <v>-0.05</v>
      </c>
      <c r="O48" s="38">
        <v>-0.05</v>
      </c>
      <c r="P48" s="38">
        <v>-0.05</v>
      </c>
      <c r="Q48" s="38">
        <v>-0.05</v>
      </c>
      <c r="R48" s="38">
        <v>-0.05</v>
      </c>
      <c r="S48" s="38">
        <v>-0.05</v>
      </c>
      <c r="T48" s="38">
        <v>-0.05</v>
      </c>
      <c r="U48" s="38">
        <v>-0.05</v>
      </c>
      <c r="V48" s="38">
        <v>-0.05</v>
      </c>
      <c r="W48" s="38">
        <v>-0.05</v>
      </c>
      <c r="X48" s="38">
        <v>-0.05</v>
      </c>
      <c r="Y48" s="38">
        <v>-0.05</v>
      </c>
      <c r="Z48" s="38">
        <v>-0.05</v>
      </c>
      <c r="AA48" s="38">
        <v>-0.05</v>
      </c>
    </row>
    <row r="49" spans="2:27" outlineLevel="1" x14ac:dyDescent="0.45">
      <c r="H49" s="17"/>
      <c r="I49" s="17"/>
      <c r="J49" s="17"/>
      <c r="K49" s="17"/>
      <c r="L49" s="17"/>
    </row>
    <row r="50" spans="2:27" outlineLevel="1" x14ac:dyDescent="0.45">
      <c r="C50" s="5" t="s">
        <v>96</v>
      </c>
      <c r="D50" s="25" t="s">
        <v>20</v>
      </c>
      <c r="E50" s="100">
        <v>571</v>
      </c>
      <c r="F50" s="100">
        <v>637</v>
      </c>
      <c r="G50" s="100">
        <v>757</v>
      </c>
      <c r="H50" s="101">
        <f t="shared" ref="H50:AA50" si="11">H51*H31</f>
        <v>1180.92</v>
      </c>
      <c r="I50" s="101">
        <f t="shared" si="11"/>
        <v>1759.7261842105265</v>
      </c>
      <c r="J50" s="101">
        <f t="shared" si="11"/>
        <v>2500.6635249307478</v>
      </c>
      <c r="K50" s="101">
        <f t="shared" si="11"/>
        <v>2353.2559908295671</v>
      </c>
      <c r="L50" s="101">
        <f t="shared" si="11"/>
        <v>2268.4149195812379</v>
      </c>
      <c r="M50" s="101">
        <f t="shared" si="11"/>
        <v>2237.6719279079657</v>
      </c>
      <c r="N50" s="101">
        <f t="shared" si="11"/>
        <v>2256.8099115019154</v>
      </c>
      <c r="O50" s="101">
        <f t="shared" si="11"/>
        <v>2325.108106192105</v>
      </c>
      <c r="P50" s="101">
        <f t="shared" si="11"/>
        <v>2511.1167546874735</v>
      </c>
      <c r="Q50" s="101">
        <f t="shared" si="11"/>
        <v>2693.1727194023156</v>
      </c>
      <c r="R50" s="101">
        <f t="shared" si="11"/>
        <v>2868.2289461634659</v>
      </c>
      <c r="S50" s="101">
        <f t="shared" si="11"/>
        <v>3033.1521105678653</v>
      </c>
      <c r="T50" s="101">
        <f t="shared" si="11"/>
        <v>3184.8097160962584</v>
      </c>
      <c r="U50" s="101">
        <f t="shared" si="11"/>
        <v>3320.1641290303492</v>
      </c>
      <c r="V50" s="101">
        <f t="shared" si="11"/>
        <v>3436.3698735464109</v>
      </c>
      <c r="W50" s="101">
        <f t="shared" si="11"/>
        <v>3530.8700450689375</v>
      </c>
      <c r="X50" s="101">
        <f t="shared" si="11"/>
        <v>3601.487445970316</v>
      </c>
      <c r="Y50" s="101">
        <f t="shared" si="11"/>
        <v>3646.5060390449453</v>
      </c>
      <c r="Z50" s="101">
        <f t="shared" si="11"/>
        <v>3664.7385692401699</v>
      </c>
      <c r="AA50" s="101">
        <f t="shared" si="11"/>
        <v>3655.5767228170689</v>
      </c>
    </row>
    <row r="51" spans="2:27" outlineLevel="1" x14ac:dyDescent="0.45">
      <c r="C51" s="5" t="s">
        <v>325</v>
      </c>
      <c r="D51" s="25" t="s">
        <v>324</v>
      </c>
      <c r="E51" s="294">
        <f>E50/E$31</f>
        <v>17.303030303030305</v>
      </c>
      <c r="F51" s="294">
        <f t="shared" ref="F51:G51" si="12">F50/F$31</f>
        <v>14.155555555555555</v>
      </c>
      <c r="G51" s="294">
        <f t="shared" si="12"/>
        <v>18.023809523809526</v>
      </c>
      <c r="H51" s="294">
        <f>G51*(1+H52)</f>
        <v>23.430952380952384</v>
      </c>
      <c r="I51" s="294">
        <f t="shared" ref="I51" si="13">H51*(1+I52)</f>
        <v>29.288690476190482</v>
      </c>
      <c r="J51" s="294">
        <f t="shared" ref="J51" si="14">I51*(1+J52)</f>
        <v>35.146428571428579</v>
      </c>
      <c r="K51" s="294">
        <f t="shared" ref="K51" si="15">J51*(1+K52)</f>
        <v>28.117142857142866</v>
      </c>
      <c r="L51" s="294">
        <f t="shared" ref="L51" si="16">K51*(1+L52)</f>
        <v>23.196642857142862</v>
      </c>
      <c r="M51" s="294">
        <f t="shared" ref="M51" si="17">L51*(1+M52)</f>
        <v>19.717146428571432</v>
      </c>
      <c r="N51" s="294">
        <f t="shared" ref="N51" si="18">M51*(1+N52)</f>
        <v>17.252503125000004</v>
      </c>
      <c r="O51" s="294">
        <f t="shared" ref="O51" si="19">N51*(1+O52)</f>
        <v>15.527252812500004</v>
      </c>
      <c r="P51" s="294">
        <f t="shared" ref="P51" si="20">O51*(1+P52)</f>
        <v>14.750890171875003</v>
      </c>
      <c r="Q51" s="294">
        <f t="shared" ref="Q51" si="21">P51*(1+Q52)</f>
        <v>14.013345663281253</v>
      </c>
      <c r="R51" s="294">
        <f t="shared" ref="R51" si="22">Q51*(1+R52)</f>
        <v>13.312678380117189</v>
      </c>
      <c r="S51" s="294">
        <f t="shared" ref="S51" si="23">R51*(1+S52)</f>
        <v>12.64704446111133</v>
      </c>
      <c r="T51" s="294">
        <f t="shared" ref="T51" si="24">S51*(1+T52)</f>
        <v>12.014692238055762</v>
      </c>
      <c r="U51" s="294">
        <f t="shared" ref="U51" si="25">T51*(1+U52)</f>
        <v>11.413957626152973</v>
      </c>
      <c r="V51" s="294">
        <f t="shared" ref="V51" si="26">U51*(1+V52)</f>
        <v>10.843259744845323</v>
      </c>
      <c r="W51" s="294">
        <f t="shared" ref="W51" si="27">V51*(1+W52)</f>
        <v>10.301096757603057</v>
      </c>
      <c r="X51" s="294">
        <f t="shared" ref="X51" si="28">W51*(1+X52)</f>
        <v>9.7860419197229032</v>
      </c>
      <c r="Y51" s="294">
        <f t="shared" ref="Y51" si="29">X51*(1+Y52)</f>
        <v>9.2967398237367576</v>
      </c>
      <c r="Z51" s="294">
        <f t="shared" ref="Z51" si="30">Y51*(1+Z52)</f>
        <v>8.83190283254992</v>
      </c>
      <c r="AA51" s="294">
        <f t="shared" ref="AA51" si="31">Z51*(1+AA52)</f>
        <v>8.3903076909224232</v>
      </c>
    </row>
    <row r="52" spans="2:27" outlineLevel="1" x14ac:dyDescent="0.45">
      <c r="C52" s="14" t="s">
        <v>13</v>
      </c>
      <c r="D52" s="25" t="s">
        <v>18</v>
      </c>
      <c r="E52" s="12"/>
      <c r="F52" s="12">
        <f>F51/E51-1</f>
        <v>-0.18190309398715709</v>
      </c>
      <c r="G52" s="12">
        <f>G51/F51-1</f>
        <v>0.27326754877775294</v>
      </c>
      <c r="H52" s="38">
        <v>0.3</v>
      </c>
      <c r="I52" s="38">
        <v>0.25</v>
      </c>
      <c r="J52" s="38">
        <v>0.2</v>
      </c>
      <c r="K52" s="38">
        <v>-0.2</v>
      </c>
      <c r="L52" s="38">
        <v>-0.17499999999999999</v>
      </c>
      <c r="M52" s="38">
        <v>-0.15</v>
      </c>
      <c r="N52" s="38">
        <v>-0.125</v>
      </c>
      <c r="O52" s="38">
        <v>-0.1</v>
      </c>
      <c r="P52" s="38">
        <v>-0.05</v>
      </c>
      <c r="Q52" s="38">
        <v>-0.05</v>
      </c>
      <c r="R52" s="38">
        <v>-0.05</v>
      </c>
      <c r="S52" s="38">
        <v>-0.05</v>
      </c>
      <c r="T52" s="38">
        <v>-0.05</v>
      </c>
      <c r="U52" s="38">
        <v>-0.05</v>
      </c>
      <c r="V52" s="38">
        <v>-0.05</v>
      </c>
      <c r="W52" s="38">
        <v>-0.05</v>
      </c>
      <c r="X52" s="38">
        <v>-0.05</v>
      </c>
      <c r="Y52" s="38">
        <v>-0.05</v>
      </c>
      <c r="Z52" s="38">
        <v>-0.05</v>
      </c>
      <c r="AA52" s="38">
        <v>-0.05</v>
      </c>
    </row>
    <row r="53" spans="2:27" outlineLevel="1" x14ac:dyDescent="0.45">
      <c r="H53" s="17"/>
      <c r="I53" s="17"/>
      <c r="J53" s="17"/>
      <c r="K53" s="17"/>
      <c r="L53" s="17"/>
    </row>
    <row r="54" spans="2:27" outlineLevel="1" x14ac:dyDescent="0.45">
      <c r="C54" s="5" t="s">
        <v>94</v>
      </c>
      <c r="D54" s="25" t="s">
        <v>20</v>
      </c>
      <c r="E54" s="101">
        <f>Control!E169*E37/Control!E138</f>
        <v>686.94926350245498</v>
      </c>
      <c r="F54" s="101">
        <f>Control!F169*F37/Control!F138</f>
        <v>453.13649661077415</v>
      </c>
      <c r="G54" s="101">
        <f>Control!G169*G37/Control!G138</f>
        <v>457.08760843954161</v>
      </c>
      <c r="H54" s="101">
        <f>H55*(H37-G37)</f>
        <v>1307.5200000000004</v>
      </c>
      <c r="I54" s="101">
        <f t="shared" ref="I54:AA54" si="32">I55*(I37-H37)</f>
        <v>1489.8597986592792</v>
      </c>
      <c r="J54" s="101">
        <f t="shared" si="32"/>
        <v>1657.3748216380395</v>
      </c>
      <c r="K54" s="101">
        <f t="shared" si="32"/>
        <v>1793.6846880255646</v>
      </c>
      <c r="L54" s="101">
        <f t="shared" si="32"/>
        <v>1878.9443209360134</v>
      </c>
      <c r="M54" s="101">
        <f t="shared" si="32"/>
        <v>1890.3515233102517</v>
      </c>
      <c r="N54" s="101">
        <f t="shared" si="32"/>
        <v>1803.1177966284508</v>
      </c>
      <c r="O54" s="101">
        <f t="shared" si="32"/>
        <v>1591.9551146857862</v>
      </c>
      <c r="P54" s="101">
        <f t="shared" si="32"/>
        <v>1849.6324017739028</v>
      </c>
      <c r="Q54" s="101">
        <f t="shared" si="32"/>
        <v>2120.2326579598375</v>
      </c>
      <c r="R54" s="101">
        <f t="shared" si="32"/>
        <v>2396.8094680984977</v>
      </c>
      <c r="S54" s="101">
        <f t="shared" si="32"/>
        <v>2670.6145727851531</v>
      </c>
      <c r="T54" s="101">
        <f t="shared" si="32"/>
        <v>2931.2365507443528</v>
      </c>
      <c r="U54" s="101">
        <f t="shared" si="32"/>
        <v>3166.8886935295477</v>
      </c>
      <c r="V54" s="101">
        <f t="shared" si="32"/>
        <v>3364.8531306698101</v>
      </c>
      <c r="W54" s="101">
        <f t="shared" si="32"/>
        <v>3512.0747717024888</v>
      </c>
      <c r="X54" s="101">
        <f t="shared" si="32"/>
        <v>3595.8830882511261</v>
      </c>
      <c r="Y54" s="101">
        <f t="shared" si="32"/>
        <v>3604.8036048659965</v>
      </c>
      <c r="Z54" s="101">
        <f t="shared" si="32"/>
        <v>3529.4060064941136</v>
      </c>
      <c r="AA54" s="101">
        <f t="shared" si="32"/>
        <v>3363.1239861667068</v>
      </c>
    </row>
    <row r="55" spans="2:27" outlineLevel="1" x14ac:dyDescent="0.45">
      <c r="C55" s="14" t="s">
        <v>95</v>
      </c>
      <c r="D55" s="25" t="s">
        <v>18</v>
      </c>
      <c r="E55" s="12"/>
      <c r="F55" s="12">
        <f>F54/(F37-E37)</f>
        <v>1.8959686050660005</v>
      </c>
      <c r="G55" s="12">
        <f>G54/(G37-F37)</f>
        <v>1.5761641670329021</v>
      </c>
      <c r="H55" s="38">
        <v>1</v>
      </c>
      <c r="I55" s="38">
        <v>0.9</v>
      </c>
      <c r="J55" s="38">
        <v>0.8</v>
      </c>
      <c r="K55" s="38">
        <v>0.7</v>
      </c>
      <c r="L55" s="38">
        <v>0.6</v>
      </c>
      <c r="M55" s="38">
        <v>0.5</v>
      </c>
      <c r="N55" s="38">
        <v>0.4</v>
      </c>
      <c r="O55" s="38">
        <v>0.3</v>
      </c>
      <c r="P55" s="137">
        <f>O55</f>
        <v>0.3</v>
      </c>
      <c r="Q55" s="137">
        <f t="shared" ref="Q55:AA55" si="33">P55</f>
        <v>0.3</v>
      </c>
      <c r="R55" s="137">
        <f t="shared" si="33"/>
        <v>0.3</v>
      </c>
      <c r="S55" s="137">
        <f t="shared" si="33"/>
        <v>0.3</v>
      </c>
      <c r="T55" s="137">
        <f t="shared" si="33"/>
        <v>0.3</v>
      </c>
      <c r="U55" s="137">
        <f t="shared" si="33"/>
        <v>0.3</v>
      </c>
      <c r="V55" s="137">
        <f t="shared" si="33"/>
        <v>0.3</v>
      </c>
      <c r="W55" s="137">
        <f t="shared" si="33"/>
        <v>0.3</v>
      </c>
      <c r="X55" s="137">
        <f t="shared" si="33"/>
        <v>0.3</v>
      </c>
      <c r="Y55" s="137">
        <f t="shared" si="33"/>
        <v>0.3</v>
      </c>
      <c r="Z55" s="137">
        <f t="shared" si="33"/>
        <v>0.3</v>
      </c>
      <c r="AA55" s="137">
        <f t="shared" si="33"/>
        <v>0.3</v>
      </c>
    </row>
    <row r="56" spans="2:27" x14ac:dyDescent="0.45">
      <c r="H56" s="17"/>
      <c r="I56" s="17"/>
      <c r="J56" s="17"/>
      <c r="K56" s="17"/>
      <c r="L56" s="17"/>
    </row>
    <row r="57" spans="2:27" x14ac:dyDescent="0.45">
      <c r="B57" s="7"/>
      <c r="C57" s="7"/>
      <c r="D57" s="7"/>
      <c r="E57" s="21" t="str">
        <f>Control!$E$131</f>
        <v>Historical:</v>
      </c>
      <c r="F57" s="21"/>
      <c r="G57" s="22"/>
      <c r="H57" s="21" t="str">
        <f>Control!$H$131</f>
        <v>Projected: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</row>
    <row r="58" spans="2:27" x14ac:dyDescent="0.45">
      <c r="B58" s="8" t="str">
        <f>Div_3&amp;" - Free Cash Flow Projections:"</f>
        <v>Space - Free Cash Flow Projections:</v>
      </c>
      <c r="C58" s="8"/>
      <c r="D58" s="24" t="str">
        <f>Control!$D$132</f>
        <v>Units:</v>
      </c>
      <c r="E58" s="2">
        <f>Control!$E$132</f>
        <v>45291</v>
      </c>
      <c r="F58" s="2">
        <f>Control!$F$132</f>
        <v>45657</v>
      </c>
      <c r="G58" s="3">
        <f>Control!$G$132</f>
        <v>46022</v>
      </c>
      <c r="H58" s="2">
        <f>Control!$H$132</f>
        <v>46387</v>
      </c>
      <c r="I58" s="4">
        <f>Control!$I$132</f>
        <v>46752</v>
      </c>
      <c r="J58" s="4">
        <f>Control!$J$132</f>
        <v>47118</v>
      </c>
      <c r="K58" s="4">
        <f>Control!$K$132</f>
        <v>47483</v>
      </c>
      <c r="L58" s="4">
        <f>Control!$L$132</f>
        <v>47848</v>
      </c>
      <c r="M58" s="4">
        <f>Control!$M$132</f>
        <v>48213</v>
      </c>
      <c r="N58" s="4">
        <f>Control!$N$132</f>
        <v>48579</v>
      </c>
      <c r="O58" s="4">
        <f>Control!$O$132</f>
        <v>48944</v>
      </c>
      <c r="P58" s="4">
        <f>Control!$P$132</f>
        <v>49309</v>
      </c>
      <c r="Q58" s="4">
        <f>Control!$Q$132</f>
        <v>49674</v>
      </c>
      <c r="R58" s="4">
        <f>Control!$R$132</f>
        <v>50040</v>
      </c>
      <c r="S58" s="4">
        <f>Control!$S$132</f>
        <v>50405</v>
      </c>
      <c r="T58" s="4">
        <f>Control!$T$132</f>
        <v>50770</v>
      </c>
      <c r="U58" s="4">
        <f>Control!$U$132</f>
        <v>51135</v>
      </c>
      <c r="V58" s="4">
        <f>Control!$V$132</f>
        <v>51501</v>
      </c>
      <c r="W58" s="4">
        <f>Control!$W$132</f>
        <v>51866</v>
      </c>
      <c r="X58" s="4">
        <f>Control!$X$132</f>
        <v>52231</v>
      </c>
      <c r="Y58" s="4">
        <f>Control!$Y$132</f>
        <v>52596</v>
      </c>
      <c r="Z58" s="4">
        <f>Control!$Z$132</f>
        <v>52962</v>
      </c>
      <c r="AA58" s="4">
        <f>Control!$AA$132</f>
        <v>53327</v>
      </c>
    </row>
    <row r="59" spans="2:27" outlineLevel="1" x14ac:dyDescent="0.45">
      <c r="C59" s="17" t="s">
        <v>91</v>
      </c>
      <c r="D59" s="25" t="s">
        <v>20</v>
      </c>
      <c r="E59" s="122">
        <f>E37</f>
        <v>3557</v>
      </c>
      <c r="F59" s="122">
        <f t="shared" ref="F59:AA59" si="34">F37</f>
        <v>3796</v>
      </c>
      <c r="G59" s="122">
        <f t="shared" si="34"/>
        <v>4086</v>
      </c>
      <c r="H59" s="122">
        <f t="shared" si="34"/>
        <v>5393.52</v>
      </c>
      <c r="I59" s="122">
        <f t="shared" si="34"/>
        <v>7048.9197762880885</v>
      </c>
      <c r="J59" s="122">
        <f t="shared" si="34"/>
        <v>9120.6383033356378</v>
      </c>
      <c r="K59" s="122">
        <f t="shared" si="34"/>
        <v>11683.045000515016</v>
      </c>
      <c r="L59" s="122">
        <f t="shared" si="34"/>
        <v>14814.618868741705</v>
      </c>
      <c r="M59" s="122">
        <f t="shared" si="34"/>
        <v>18595.321915362209</v>
      </c>
      <c r="N59" s="122">
        <f t="shared" si="34"/>
        <v>23103.116406933335</v>
      </c>
      <c r="O59" s="122">
        <f t="shared" si="34"/>
        <v>28409.633455885956</v>
      </c>
      <c r="P59" s="122">
        <f t="shared" si="34"/>
        <v>34575.074795132299</v>
      </c>
      <c r="Q59" s="122">
        <f t="shared" si="34"/>
        <v>41642.516988331758</v>
      </c>
      <c r="R59" s="122">
        <f t="shared" si="34"/>
        <v>49631.881881993417</v>
      </c>
      <c r="S59" s="122">
        <f t="shared" si="34"/>
        <v>58533.930457943927</v>
      </c>
      <c r="T59" s="122">
        <f t="shared" si="34"/>
        <v>68304.718960425103</v>
      </c>
      <c r="U59" s="122">
        <f t="shared" si="34"/>
        <v>78861.014605523596</v>
      </c>
      <c r="V59" s="122">
        <f t="shared" si="34"/>
        <v>90077.191707756298</v>
      </c>
      <c r="W59" s="122">
        <f t="shared" si="34"/>
        <v>101784.10761343126</v>
      </c>
      <c r="X59" s="122">
        <f t="shared" si="34"/>
        <v>113770.38457426835</v>
      </c>
      <c r="Y59" s="122">
        <f t="shared" si="34"/>
        <v>125786.39659048834</v>
      </c>
      <c r="Z59" s="122">
        <f t="shared" si="34"/>
        <v>137551.08327880205</v>
      </c>
      <c r="AA59" s="122">
        <f t="shared" si="34"/>
        <v>148761.49656602441</v>
      </c>
    </row>
    <row r="60" spans="2:27" outlineLevel="1" x14ac:dyDescent="0.45">
      <c r="C60" s="27" t="s">
        <v>23</v>
      </c>
      <c r="D60" s="25" t="s">
        <v>18</v>
      </c>
      <c r="F60" s="28">
        <f>F59/E59-1</f>
        <v>6.7191453472027041E-2</v>
      </c>
      <c r="G60" s="28">
        <f>G59/F59-1</f>
        <v>7.6396206533192901E-2</v>
      </c>
      <c r="H60" s="28">
        <f t="shared" ref="H60:AA60" si="35">H59/G59-1</f>
        <v>0.32000000000000006</v>
      </c>
      <c r="I60" s="28">
        <f t="shared" si="35"/>
        <v>0.30692382271468133</v>
      </c>
      <c r="J60" s="28">
        <f t="shared" si="35"/>
        <v>0.29390581717451481</v>
      </c>
      <c r="K60" s="28">
        <f t="shared" si="35"/>
        <v>0.28094598337950139</v>
      </c>
      <c r="L60" s="28">
        <f t="shared" si="35"/>
        <v>0.26804432132963973</v>
      </c>
      <c r="M60" s="28">
        <f t="shared" si="35"/>
        <v>0.25520083102493074</v>
      </c>
      <c r="N60" s="28">
        <f t="shared" si="35"/>
        <v>0.24241551246537374</v>
      </c>
      <c r="O60" s="28">
        <f t="shared" si="35"/>
        <v>0.22968836565096962</v>
      </c>
      <c r="P60" s="28">
        <f t="shared" si="35"/>
        <v>0.21701939058171749</v>
      </c>
      <c r="Q60" s="28">
        <f t="shared" si="35"/>
        <v>0.20440858725761779</v>
      </c>
      <c r="R60" s="28">
        <f t="shared" si="35"/>
        <v>0.19185595567867053</v>
      </c>
      <c r="S60" s="28">
        <f t="shared" si="35"/>
        <v>0.17936149584487548</v>
      </c>
      <c r="T60" s="28">
        <f t="shared" si="35"/>
        <v>0.16692520775623287</v>
      </c>
      <c r="U60" s="28">
        <f t="shared" si="35"/>
        <v>0.15454709141274225</v>
      </c>
      <c r="V60" s="28">
        <f t="shared" si="35"/>
        <v>0.14222714681440451</v>
      </c>
      <c r="W60" s="28">
        <f t="shared" si="35"/>
        <v>0.12996537396121899</v>
      </c>
      <c r="X60" s="28">
        <f t="shared" si="35"/>
        <v>0.11776177285318545</v>
      </c>
      <c r="Y60" s="28">
        <f t="shared" si="35"/>
        <v>0.1056163434903048</v>
      </c>
      <c r="Z60" s="28">
        <f t="shared" si="35"/>
        <v>9.3529085872576134E-2</v>
      </c>
      <c r="AA60" s="28">
        <f t="shared" si="35"/>
        <v>8.1499999999999906E-2</v>
      </c>
    </row>
    <row r="61" spans="2:27" outlineLevel="1" x14ac:dyDescent="0.45"/>
    <row r="62" spans="2:27" outlineLevel="1" x14ac:dyDescent="0.45">
      <c r="C62" s="17" t="s">
        <v>92</v>
      </c>
      <c r="D62" s="26" t="s">
        <v>20</v>
      </c>
      <c r="E62" s="102">
        <f>E37+E40+E43</f>
        <v>-1</v>
      </c>
      <c r="F62" s="102">
        <f t="shared" ref="F62:AA62" si="36">F37+F40+F43</f>
        <v>45</v>
      </c>
      <c r="G62" s="102">
        <f t="shared" si="36"/>
        <v>-619</v>
      </c>
      <c r="H62" s="102">
        <f t="shared" si="36"/>
        <v>-161.80559999999969</v>
      </c>
      <c r="I62" s="102">
        <f t="shared" si="36"/>
        <v>-51.939408877911774</v>
      </c>
      <c r="J62" s="102">
        <f t="shared" si="36"/>
        <v>139.20974252459655</v>
      </c>
      <c r="K62" s="102">
        <f t="shared" si="36"/>
        <v>442.72591580898825</v>
      </c>
      <c r="L62" s="102">
        <f t="shared" si="36"/>
        <v>896.67429995015118</v>
      </c>
      <c r="M62" s="102">
        <f t="shared" si="36"/>
        <v>1546.3478224353785</v>
      </c>
      <c r="N62" s="102">
        <f t="shared" si="36"/>
        <v>2444.0665251545161</v>
      </c>
      <c r="O62" s="102">
        <f t="shared" si="36"/>
        <v>3648.3950332821823</v>
      </c>
      <c r="P62" s="102">
        <f t="shared" si="36"/>
        <v>5222.6560348436469</v>
      </c>
      <c r="Q62" s="102">
        <f t="shared" si="36"/>
        <v>7232.6476874470645</v>
      </c>
      <c r="R62" s="102">
        <f t="shared" si="36"/>
        <v>9743.5220747281455</v>
      </c>
      <c r="S62" s="102">
        <f t="shared" si="36"/>
        <v>12815.85003710767</v>
      </c>
      <c r="T62" s="102">
        <f t="shared" si="36"/>
        <v>16500.982106755266</v>
      </c>
      <c r="U62" s="102">
        <f t="shared" si="36"/>
        <v>20835.91017472247</v>
      </c>
      <c r="V62" s="102">
        <f t="shared" si="36"/>
        <v>25837.931305645787</v>
      </c>
      <c r="W62" s="102">
        <f t="shared" si="36"/>
        <v>31499.502777209134</v>
      </c>
      <c r="X62" s="102">
        <f t="shared" si="36"/>
        <v>37783.743508612126</v>
      </c>
      <c r="Y62" s="102">
        <f t="shared" si="36"/>
        <v>44621.0691063099</v>
      </c>
      <c r="Z62" s="102">
        <f t="shared" si="36"/>
        <v>51907.435111000363</v>
      </c>
      <c r="AA62" s="102">
        <f t="shared" si="36"/>
        <v>59504.598626409541</v>
      </c>
    </row>
    <row r="63" spans="2:27" outlineLevel="1" x14ac:dyDescent="0.45">
      <c r="C63" s="27" t="s">
        <v>93</v>
      </c>
      <c r="D63" s="25" t="s">
        <v>18</v>
      </c>
      <c r="E63" s="28">
        <f>E62/E59</f>
        <v>-2.8113578858588698E-4</v>
      </c>
      <c r="F63" s="28">
        <f t="shared" ref="F63:AA63" si="37">F62/F59</f>
        <v>1.1854583772391991E-2</v>
      </c>
      <c r="G63" s="28">
        <f t="shared" si="37"/>
        <v>-0.15149290259422418</v>
      </c>
      <c r="H63" s="28">
        <f t="shared" si="37"/>
        <v>-2.999999999999994E-2</v>
      </c>
      <c r="I63" s="28">
        <f t="shared" si="37"/>
        <v>-7.3684210526315137E-3</v>
      </c>
      <c r="J63" s="28">
        <f t="shared" si="37"/>
        <v>1.526315789473684E-2</v>
      </c>
      <c r="K63" s="28">
        <f t="shared" si="37"/>
        <v>3.7894736842105106E-2</v>
      </c>
      <c r="L63" s="28">
        <f t="shared" si="37"/>
        <v>6.0526315789473373E-2</v>
      </c>
      <c r="M63" s="28">
        <f t="shared" si="37"/>
        <v>8.315789473684182E-2</v>
      </c>
      <c r="N63" s="28">
        <f t="shared" si="37"/>
        <v>0.10578947368421007</v>
      </c>
      <c r="O63" s="28">
        <f t="shared" si="37"/>
        <v>0.12842105263157844</v>
      </c>
      <c r="P63" s="28">
        <f t="shared" si="37"/>
        <v>0.15105263157894674</v>
      </c>
      <c r="Q63" s="28">
        <f t="shared" si="37"/>
        <v>0.17368421052631505</v>
      </c>
      <c r="R63" s="28">
        <f t="shared" si="37"/>
        <v>0.1963157894736835</v>
      </c>
      <c r="S63" s="28">
        <f t="shared" si="37"/>
        <v>0.21894736842105172</v>
      </c>
      <c r="T63" s="28">
        <f t="shared" si="37"/>
        <v>0.24157894736842014</v>
      </c>
      <c r="U63" s="28">
        <f t="shared" si="37"/>
        <v>0.26421052631578845</v>
      </c>
      <c r="V63" s="28">
        <f t="shared" si="37"/>
        <v>0.28684210526315679</v>
      </c>
      <c r="W63" s="28">
        <f t="shared" si="37"/>
        <v>0.30947368421052512</v>
      </c>
      <c r="X63" s="28">
        <f t="shared" si="37"/>
        <v>0.3321052631578934</v>
      </c>
      <c r="Y63" s="28">
        <f t="shared" si="37"/>
        <v>0.3547368421052618</v>
      </c>
      <c r="Z63" s="28">
        <f t="shared" si="37"/>
        <v>0.37736842105263013</v>
      </c>
      <c r="AA63" s="28">
        <f t="shared" si="37"/>
        <v>0.39999999999999852</v>
      </c>
    </row>
    <row r="64" spans="2:27" outlineLevel="1" x14ac:dyDescent="0.45">
      <c r="C64" s="14"/>
      <c r="H64" s="101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</row>
    <row r="65" spans="3:27" outlineLevel="1" x14ac:dyDescent="0.45">
      <c r="C65" s="14" t="s">
        <v>21</v>
      </c>
      <c r="D65" s="26" t="s">
        <v>20</v>
      </c>
      <c r="E65" s="101">
        <f t="shared" ref="E65:AA65" si="38">-MAX(0,E62)*Tax_Rate</f>
        <v>0</v>
      </c>
      <c r="F65" s="101">
        <f t="shared" si="38"/>
        <v>-11.25</v>
      </c>
      <c r="G65" s="101">
        <f t="shared" si="38"/>
        <v>0</v>
      </c>
      <c r="H65" s="101">
        <f t="shared" si="38"/>
        <v>0</v>
      </c>
      <c r="I65" s="101">
        <f t="shared" si="38"/>
        <v>0</v>
      </c>
      <c r="J65" s="101">
        <f t="shared" si="38"/>
        <v>-34.802435631149137</v>
      </c>
      <c r="K65" s="101">
        <f t="shared" si="38"/>
        <v>-110.68147895224706</v>
      </c>
      <c r="L65" s="101">
        <f t="shared" si="38"/>
        <v>-224.1685749875378</v>
      </c>
      <c r="M65" s="101">
        <f t="shared" si="38"/>
        <v>-386.58695560884462</v>
      </c>
      <c r="N65" s="101">
        <f t="shared" si="38"/>
        <v>-611.01663128862901</v>
      </c>
      <c r="O65" s="101">
        <f t="shared" si="38"/>
        <v>-912.09875832054558</v>
      </c>
      <c r="P65" s="101">
        <f t="shared" si="38"/>
        <v>-1305.6640087109117</v>
      </c>
      <c r="Q65" s="101">
        <f t="shared" si="38"/>
        <v>-1808.1619218617661</v>
      </c>
      <c r="R65" s="101">
        <f t="shared" si="38"/>
        <v>-2435.8805186820364</v>
      </c>
      <c r="S65" s="101">
        <f t="shared" si="38"/>
        <v>-3203.9625092769174</v>
      </c>
      <c r="T65" s="101">
        <f t="shared" si="38"/>
        <v>-4125.2455266888164</v>
      </c>
      <c r="U65" s="101">
        <f t="shared" si="38"/>
        <v>-5208.9775436806176</v>
      </c>
      <c r="V65" s="101">
        <f t="shared" si="38"/>
        <v>-6459.4828264114467</v>
      </c>
      <c r="W65" s="101">
        <f t="shared" si="38"/>
        <v>-7874.8756943022836</v>
      </c>
      <c r="X65" s="101">
        <f t="shared" si="38"/>
        <v>-9445.9358771530315</v>
      </c>
      <c r="Y65" s="101">
        <f t="shared" si="38"/>
        <v>-11155.267276577475</v>
      </c>
      <c r="Z65" s="101">
        <f t="shared" si="38"/>
        <v>-12976.858777750091</v>
      </c>
      <c r="AA65" s="101">
        <f t="shared" si="38"/>
        <v>-14876.149656602385</v>
      </c>
    </row>
    <row r="66" spans="3:27" outlineLevel="1" x14ac:dyDescent="0.45">
      <c r="C66" s="17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</row>
    <row r="67" spans="3:27" outlineLevel="1" x14ac:dyDescent="0.45">
      <c r="C67" s="17" t="s">
        <v>3</v>
      </c>
      <c r="D67" s="26" t="s">
        <v>20</v>
      </c>
      <c r="E67" s="102">
        <f t="shared" ref="E67:G67" si="39">E62+E65</f>
        <v>-1</v>
      </c>
      <c r="F67" s="102">
        <f t="shared" si="39"/>
        <v>33.75</v>
      </c>
      <c r="G67" s="102">
        <f t="shared" si="39"/>
        <v>-619</v>
      </c>
      <c r="H67" s="102">
        <f>H62+H65</f>
        <v>-161.80559999999969</v>
      </c>
      <c r="I67" s="102">
        <f t="shared" ref="I67:AA67" si="40">I62+I65</f>
        <v>-51.939408877911774</v>
      </c>
      <c r="J67" s="102">
        <f t="shared" si="40"/>
        <v>104.40730689344741</v>
      </c>
      <c r="K67" s="102">
        <f t="shared" si="40"/>
        <v>332.04443685674119</v>
      </c>
      <c r="L67" s="102">
        <f t="shared" si="40"/>
        <v>672.50572496261339</v>
      </c>
      <c r="M67" s="102">
        <f t="shared" si="40"/>
        <v>1159.7608668265339</v>
      </c>
      <c r="N67" s="102">
        <f t="shared" si="40"/>
        <v>1833.049893865887</v>
      </c>
      <c r="O67" s="102">
        <f t="shared" si="40"/>
        <v>2736.2962749616368</v>
      </c>
      <c r="P67" s="102">
        <f t="shared" si="40"/>
        <v>3916.9920261327352</v>
      </c>
      <c r="Q67" s="102">
        <f t="shared" si="40"/>
        <v>5424.4857655852984</v>
      </c>
      <c r="R67" s="102">
        <f t="shared" si="40"/>
        <v>7307.6415560461091</v>
      </c>
      <c r="S67" s="102">
        <f t="shared" si="40"/>
        <v>9611.8875278307532</v>
      </c>
      <c r="T67" s="102">
        <f t="shared" si="40"/>
        <v>12375.736580066448</v>
      </c>
      <c r="U67" s="102">
        <f t="shared" si="40"/>
        <v>15626.932631041853</v>
      </c>
      <c r="V67" s="102">
        <f t="shared" si="40"/>
        <v>19378.448479234339</v>
      </c>
      <c r="W67" s="102">
        <f t="shared" si="40"/>
        <v>23624.627082906853</v>
      </c>
      <c r="X67" s="102">
        <f t="shared" si="40"/>
        <v>28337.807631459094</v>
      </c>
      <c r="Y67" s="102">
        <f t="shared" si="40"/>
        <v>33465.801829732423</v>
      </c>
      <c r="Z67" s="102">
        <f t="shared" si="40"/>
        <v>38930.576333250268</v>
      </c>
      <c r="AA67" s="102">
        <f t="shared" si="40"/>
        <v>44628.448969807156</v>
      </c>
    </row>
    <row r="68" spans="3:27" outlineLevel="1" x14ac:dyDescent="0.45">
      <c r="C68" s="17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</row>
    <row r="69" spans="3:27" outlineLevel="1" x14ac:dyDescent="0.45">
      <c r="C69" s="14" t="s">
        <v>26</v>
      </c>
      <c r="D69" s="26" t="s">
        <v>20</v>
      </c>
      <c r="E69" s="101">
        <f t="shared" ref="E69:G69" si="41">E50</f>
        <v>571</v>
      </c>
      <c r="F69" s="101">
        <f t="shared" si="41"/>
        <v>637</v>
      </c>
      <c r="G69" s="101">
        <f t="shared" si="41"/>
        <v>757</v>
      </c>
      <c r="H69" s="101">
        <f>H50</f>
        <v>1180.92</v>
      </c>
      <c r="I69" s="101">
        <f t="shared" ref="I69:AA69" si="42">I50</f>
        <v>1759.7261842105265</v>
      </c>
      <c r="J69" s="101">
        <f t="shared" si="42"/>
        <v>2500.6635249307478</v>
      </c>
      <c r="K69" s="101">
        <f t="shared" si="42"/>
        <v>2353.2559908295671</v>
      </c>
      <c r="L69" s="101">
        <f t="shared" si="42"/>
        <v>2268.4149195812379</v>
      </c>
      <c r="M69" s="101">
        <f t="shared" si="42"/>
        <v>2237.6719279079657</v>
      </c>
      <c r="N69" s="101">
        <f t="shared" si="42"/>
        <v>2256.8099115019154</v>
      </c>
      <c r="O69" s="101">
        <f t="shared" si="42"/>
        <v>2325.108106192105</v>
      </c>
      <c r="P69" s="101">
        <f t="shared" si="42"/>
        <v>2511.1167546874735</v>
      </c>
      <c r="Q69" s="101">
        <f t="shared" si="42"/>
        <v>2693.1727194023156</v>
      </c>
      <c r="R69" s="101">
        <f t="shared" si="42"/>
        <v>2868.2289461634659</v>
      </c>
      <c r="S69" s="101">
        <f t="shared" si="42"/>
        <v>3033.1521105678653</v>
      </c>
      <c r="T69" s="101">
        <f t="shared" si="42"/>
        <v>3184.8097160962584</v>
      </c>
      <c r="U69" s="101">
        <f t="shared" si="42"/>
        <v>3320.1641290303492</v>
      </c>
      <c r="V69" s="101">
        <f t="shared" si="42"/>
        <v>3436.3698735464109</v>
      </c>
      <c r="W69" s="101">
        <f t="shared" si="42"/>
        <v>3530.8700450689375</v>
      </c>
      <c r="X69" s="101">
        <f t="shared" si="42"/>
        <v>3601.487445970316</v>
      </c>
      <c r="Y69" s="101">
        <f t="shared" si="42"/>
        <v>3646.5060390449453</v>
      </c>
      <c r="Z69" s="101">
        <f t="shared" si="42"/>
        <v>3664.7385692401699</v>
      </c>
      <c r="AA69" s="101">
        <f t="shared" si="42"/>
        <v>3655.5767228170689</v>
      </c>
    </row>
    <row r="70" spans="3:27" outlineLevel="1" x14ac:dyDescent="0.45">
      <c r="C70" s="136" t="s">
        <v>90</v>
      </c>
      <c r="D70" s="25" t="s">
        <v>18</v>
      </c>
      <c r="E70" s="138">
        <f t="shared" ref="E70:AA70" si="43">E69/E$59</f>
        <v>0.16052853528254146</v>
      </c>
      <c r="F70" s="138">
        <f t="shared" si="43"/>
        <v>0.1678082191780822</v>
      </c>
      <c r="G70" s="138">
        <f t="shared" si="43"/>
        <v>0.18526676456191873</v>
      </c>
      <c r="H70" s="138">
        <f t="shared" si="43"/>
        <v>0.21895163084590397</v>
      </c>
      <c r="I70" s="138">
        <f t="shared" si="43"/>
        <v>0.24964480233270381</v>
      </c>
      <c r="J70" s="138">
        <f t="shared" si="43"/>
        <v>0.27417637250412558</v>
      </c>
      <c r="K70" s="138">
        <f t="shared" si="43"/>
        <v>0.20142488458495453</v>
      </c>
      <c r="L70" s="138">
        <f t="shared" si="43"/>
        <v>0.1531200322923939</v>
      </c>
      <c r="M70" s="138">
        <f t="shared" si="43"/>
        <v>0.12033520785995919</v>
      </c>
      <c r="N70" s="138">
        <f t="shared" si="43"/>
        <v>9.7684220247647544E-2</v>
      </c>
      <c r="O70" s="138">
        <f t="shared" si="43"/>
        <v>8.1842242343692931E-2</v>
      </c>
      <c r="P70" s="138">
        <f t="shared" si="43"/>
        <v>7.2627948589167032E-2</v>
      </c>
      <c r="Q70" s="138">
        <f t="shared" si="43"/>
        <v>6.4673629602094967E-2</v>
      </c>
      <c r="R70" s="138">
        <f t="shared" si="43"/>
        <v>5.779005021375317E-2</v>
      </c>
      <c r="S70" s="138">
        <f t="shared" si="43"/>
        <v>5.1818698775869088E-2</v>
      </c>
      <c r="T70" s="138">
        <f t="shared" si="43"/>
        <v>4.6626496156751587E-2</v>
      </c>
      <c r="U70" s="138">
        <f t="shared" si="43"/>
        <v>4.210146351322492E-2</v>
      </c>
      <c r="V70" s="138">
        <f t="shared" si="43"/>
        <v>3.8149167490648075E-2</v>
      </c>
      <c r="W70" s="138">
        <f t="shared" si="43"/>
        <v>3.4689797138851272E-2</v>
      </c>
      <c r="X70" s="138">
        <f t="shared" si="43"/>
        <v>3.1655755225291474E-2</v>
      </c>
      <c r="Y70" s="138">
        <f t="shared" si="43"/>
        <v>2.8989669295611933E-2</v>
      </c>
      <c r="Z70" s="138">
        <f t="shared" si="43"/>
        <v>2.6642745966690192E-2</v>
      </c>
      <c r="AA70" s="138">
        <f t="shared" si="43"/>
        <v>2.4573406474131729E-2</v>
      </c>
    </row>
    <row r="71" spans="3:27" outlineLevel="1" x14ac:dyDescent="0.45"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</row>
    <row r="72" spans="3:27" outlineLevel="1" x14ac:dyDescent="0.45">
      <c r="C72" s="14" t="s">
        <v>27</v>
      </c>
      <c r="D72" s="26" t="s">
        <v>20</v>
      </c>
      <c r="E72" s="101">
        <f t="shared" ref="E72:G72" si="44">E54</f>
        <v>686.94926350245498</v>
      </c>
      <c r="F72" s="101">
        <f t="shared" si="44"/>
        <v>453.13649661077415</v>
      </c>
      <c r="G72" s="101">
        <f t="shared" si="44"/>
        <v>457.08760843954161</v>
      </c>
      <c r="H72" s="101">
        <f>H54</f>
        <v>1307.5200000000004</v>
      </c>
      <c r="I72" s="101">
        <f t="shared" ref="I72:AA72" si="45">I73*(I59-H59)</f>
        <v>331.07995525761766</v>
      </c>
      <c r="J72" s="101">
        <f t="shared" si="45"/>
        <v>310.75777905713238</v>
      </c>
      <c r="K72" s="101">
        <f t="shared" si="45"/>
        <v>256.24066971793781</v>
      </c>
      <c r="L72" s="101">
        <f t="shared" si="45"/>
        <v>313.15738682266897</v>
      </c>
      <c r="M72" s="101">
        <f t="shared" si="45"/>
        <v>378.07030466205038</v>
      </c>
      <c r="N72" s="101">
        <f t="shared" si="45"/>
        <v>450.77944915711271</v>
      </c>
      <c r="O72" s="101">
        <f t="shared" si="45"/>
        <v>530.65170489526213</v>
      </c>
      <c r="P72" s="101">
        <f t="shared" si="45"/>
        <v>616.54413392463437</v>
      </c>
      <c r="Q72" s="101">
        <f t="shared" si="45"/>
        <v>706.74421931994584</v>
      </c>
      <c r="R72" s="101">
        <f t="shared" si="45"/>
        <v>798.93648936616592</v>
      </c>
      <c r="S72" s="101">
        <f t="shared" si="45"/>
        <v>890.20485759505107</v>
      </c>
      <c r="T72" s="101">
        <f t="shared" si="45"/>
        <v>977.07885024811776</v>
      </c>
      <c r="U72" s="101">
        <f t="shared" si="45"/>
        <v>1055.6295645098494</v>
      </c>
      <c r="V72" s="101">
        <f t="shared" si="45"/>
        <v>1121.6177102232703</v>
      </c>
      <c r="W72" s="101">
        <f t="shared" si="45"/>
        <v>1170.6915905674964</v>
      </c>
      <c r="X72" s="101">
        <f t="shared" si="45"/>
        <v>1198.6276960837088</v>
      </c>
      <c r="Y72" s="101">
        <f t="shared" si="45"/>
        <v>1201.6012016219991</v>
      </c>
      <c r="Z72" s="101">
        <f t="shared" si="45"/>
        <v>1176.4686688313711</v>
      </c>
      <c r="AA72" s="101">
        <f t="shared" si="45"/>
        <v>1121.0413287222357</v>
      </c>
    </row>
    <row r="73" spans="3:27" outlineLevel="1" x14ac:dyDescent="0.45">
      <c r="C73" s="136" t="s">
        <v>90</v>
      </c>
      <c r="D73" s="25" t="s">
        <v>18</v>
      </c>
      <c r="E73" s="138">
        <f t="shared" ref="E73:G73" si="46">E72/E59</f>
        <v>0.19312602291325695</v>
      </c>
      <c r="F73" s="138">
        <f t="shared" si="46"/>
        <v>0.11937210132001426</v>
      </c>
      <c r="G73" s="138">
        <f t="shared" si="46"/>
        <v>0.11186676662739638</v>
      </c>
      <c r="H73" s="138">
        <f>H72/H59</f>
        <v>0.24242424242424249</v>
      </c>
      <c r="I73" s="138">
        <v>0.2</v>
      </c>
      <c r="J73" s="138">
        <v>0.15</v>
      </c>
      <c r="K73" s="138">
        <v>0.1</v>
      </c>
      <c r="L73" s="138">
        <v>0.1</v>
      </c>
      <c r="M73" s="138">
        <v>0.1</v>
      </c>
      <c r="N73" s="138">
        <v>0.1</v>
      </c>
      <c r="O73" s="138">
        <v>0.1</v>
      </c>
      <c r="P73" s="138">
        <v>0.1</v>
      </c>
      <c r="Q73" s="138">
        <v>0.1</v>
      </c>
      <c r="R73" s="138">
        <v>0.1</v>
      </c>
      <c r="S73" s="138">
        <v>0.1</v>
      </c>
      <c r="T73" s="138">
        <v>0.1</v>
      </c>
      <c r="U73" s="138">
        <v>0.1</v>
      </c>
      <c r="V73" s="138">
        <v>0.1</v>
      </c>
      <c r="W73" s="138">
        <v>0.1</v>
      </c>
      <c r="X73" s="138">
        <v>0.1</v>
      </c>
      <c r="Y73" s="138">
        <v>0.1</v>
      </c>
      <c r="Z73" s="138">
        <v>0.1</v>
      </c>
      <c r="AA73" s="138">
        <v>0.1</v>
      </c>
    </row>
    <row r="74" spans="3:27" outlineLevel="1" x14ac:dyDescent="0.45">
      <c r="C74" s="14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</row>
    <row r="75" spans="3:27" outlineLevel="1" x14ac:dyDescent="0.45">
      <c r="C75" s="14" t="s">
        <v>22</v>
      </c>
      <c r="D75" s="26" t="s">
        <v>20</v>
      </c>
      <c r="E75" s="101">
        <f t="shared" ref="E75:G75" si="47">E46</f>
        <v>-1497</v>
      </c>
      <c r="F75" s="101">
        <f t="shared" si="47"/>
        <v>-2032</v>
      </c>
      <c r="G75" s="101">
        <f t="shared" si="47"/>
        <v>-3832</v>
      </c>
      <c r="H75" s="101">
        <f>H46</f>
        <v>-3678.7200000000003</v>
      </c>
      <c r="I75" s="101">
        <f t="shared" ref="I75:AA75" si="48">I46</f>
        <v>-3617.9727157894736</v>
      </c>
      <c r="J75" s="101">
        <f t="shared" si="48"/>
        <v>-3641.7751678670352</v>
      </c>
      <c r="K75" s="101">
        <f t="shared" si="48"/>
        <v>-3748.392927715774</v>
      </c>
      <c r="L75" s="101">
        <f t="shared" si="48"/>
        <v>-3941.7310892505875</v>
      </c>
      <c r="M75" s="101">
        <f t="shared" si="48"/>
        <v>-4231.3964594277522</v>
      </c>
      <c r="N75" s="101">
        <f t="shared" si="48"/>
        <v>-4633.3791230733887</v>
      </c>
      <c r="O75" s="101">
        <f t="shared" si="48"/>
        <v>-5038.7997963423104</v>
      </c>
      <c r="P75" s="101">
        <f t="shared" si="48"/>
        <v>-5441.9037800496944</v>
      </c>
      <c r="Q75" s="101">
        <f t="shared" si="48"/>
        <v>-5836.4418041032977</v>
      </c>
      <c r="R75" s="101">
        <f t="shared" si="48"/>
        <v>-6215.8105213700119</v>
      </c>
      <c r="S75" s="101">
        <f t="shared" si="48"/>
        <v>-6573.2196263487876</v>
      </c>
      <c r="T75" s="101">
        <f t="shared" si="48"/>
        <v>-6901.8806076662268</v>
      </c>
      <c r="U75" s="101">
        <f t="shared" si="48"/>
        <v>-7195.2105334920407</v>
      </c>
      <c r="V75" s="101">
        <f t="shared" si="48"/>
        <v>-7447.0429021642622</v>
      </c>
      <c r="W75" s="101">
        <f t="shared" si="48"/>
        <v>-7651.8365819737801</v>
      </c>
      <c r="X75" s="101">
        <f t="shared" si="48"/>
        <v>-7804.873313613255</v>
      </c>
      <c r="Y75" s="101">
        <f t="shared" si="48"/>
        <v>-7902.434230033421</v>
      </c>
      <c r="Z75" s="101">
        <f t="shared" si="48"/>
        <v>-7941.9464011835871</v>
      </c>
      <c r="AA75" s="101">
        <f t="shared" si="48"/>
        <v>-7922.0915351806279</v>
      </c>
    </row>
    <row r="76" spans="3:27" outlineLevel="1" x14ac:dyDescent="0.45">
      <c r="C76" s="136" t="s">
        <v>90</v>
      </c>
      <c r="D76" s="25" t="s">
        <v>18</v>
      </c>
      <c r="E76" s="138">
        <f t="shared" ref="E76:AA76" si="49">-E75/E$59</f>
        <v>0.42086027551307281</v>
      </c>
      <c r="F76" s="138">
        <f t="shared" si="49"/>
        <v>0.53530031612223394</v>
      </c>
      <c r="G76" s="138">
        <f t="shared" si="49"/>
        <v>0.93783651492902598</v>
      </c>
      <c r="H76" s="138">
        <f t="shared" si="49"/>
        <v>0.68206291994838253</v>
      </c>
      <c r="I76" s="138">
        <f t="shared" si="49"/>
        <v>0.51326626357133442</v>
      </c>
      <c r="J76" s="138">
        <f t="shared" si="49"/>
        <v>0.39928950658367296</v>
      </c>
      <c r="K76" s="138">
        <f t="shared" si="49"/>
        <v>0.32084040826261784</v>
      </c>
      <c r="L76" s="138">
        <f t="shared" si="49"/>
        <v>0.26607036766686543</v>
      </c>
      <c r="M76" s="138">
        <f t="shared" si="49"/>
        <v>0.22755166480511727</v>
      </c>
      <c r="N76" s="138">
        <f t="shared" si="49"/>
        <v>0.20055212645177573</v>
      </c>
      <c r="O76" s="138">
        <f t="shared" si="49"/>
        <v>0.17736236562736657</v>
      </c>
      <c r="P76" s="138">
        <f t="shared" si="49"/>
        <v>0.1573938397037348</v>
      </c>
      <c r="Q76" s="138">
        <f t="shared" si="49"/>
        <v>0.14015583653933958</v>
      </c>
      <c r="R76" s="138">
        <f t="shared" si="49"/>
        <v>0.12523825987797421</v>
      </c>
      <c r="S76" s="138">
        <f t="shared" si="49"/>
        <v>0.11229759517125855</v>
      </c>
      <c r="T76" s="138">
        <f t="shared" si="49"/>
        <v>0.10104544331212445</v>
      </c>
      <c r="U76" s="138">
        <f t="shared" si="49"/>
        <v>9.123913215526995E-2</v>
      </c>
      <c r="V76" s="138">
        <f t="shared" si="49"/>
        <v>8.2674012821416787E-2</v>
      </c>
      <c r="W76" s="138">
        <f t="shared" si="49"/>
        <v>7.5177125008895368E-2</v>
      </c>
      <c r="X76" s="138">
        <f t="shared" si="49"/>
        <v>6.8601977068279127E-2</v>
      </c>
      <c r="Y76" s="138">
        <f t="shared" si="49"/>
        <v>6.2824235722092253E-2</v>
      </c>
      <c r="Z76" s="138">
        <f t="shared" si="49"/>
        <v>5.7738159612207997E-2</v>
      </c>
      <c r="AA76" s="138">
        <f t="shared" si="49"/>
        <v>5.3253642360774366E-2</v>
      </c>
    </row>
    <row r="77" spans="3:27" outlineLevel="1" x14ac:dyDescent="0.45">
      <c r="C77" s="17"/>
      <c r="E77" s="30"/>
      <c r="F77" s="30"/>
      <c r="G77" s="30"/>
      <c r="H77" s="30"/>
      <c r="I77" s="30"/>
      <c r="J77" s="30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</row>
    <row r="78" spans="3:27" outlineLevel="1" x14ac:dyDescent="0.45">
      <c r="C78" s="31" t="s">
        <v>4</v>
      </c>
      <c r="D78" s="32" t="s">
        <v>20</v>
      </c>
      <c r="E78" s="123">
        <f t="shared" ref="E78:AA78" si="50">E67+E69+E72+E75</f>
        <v>-240.05073649754513</v>
      </c>
      <c r="F78" s="123">
        <f t="shared" si="50"/>
        <v>-908.1135033892258</v>
      </c>
      <c r="G78" s="123">
        <f t="shared" si="50"/>
        <v>-3236.9123915604587</v>
      </c>
      <c r="H78" s="123">
        <f t="shared" si="50"/>
        <v>-1352.0855999999994</v>
      </c>
      <c r="I78" s="123">
        <f t="shared" si="50"/>
        <v>-1579.1059851992411</v>
      </c>
      <c r="J78" s="123">
        <f t="shared" si="50"/>
        <v>-725.94655698570796</v>
      </c>
      <c r="K78" s="123">
        <f t="shared" si="50"/>
        <v>-806.85183031152792</v>
      </c>
      <c r="L78" s="123">
        <f t="shared" si="50"/>
        <v>-687.65305788406749</v>
      </c>
      <c r="M78" s="123">
        <f t="shared" si="50"/>
        <v>-455.89336003120206</v>
      </c>
      <c r="N78" s="123">
        <f t="shared" si="50"/>
        <v>-92.739868548473169</v>
      </c>
      <c r="O78" s="123">
        <f t="shared" si="50"/>
        <v>553.25628970669277</v>
      </c>
      <c r="P78" s="123">
        <f t="shared" si="50"/>
        <v>1602.7491346951483</v>
      </c>
      <c r="Q78" s="123">
        <f t="shared" si="50"/>
        <v>2987.9609002042625</v>
      </c>
      <c r="R78" s="123">
        <f t="shared" si="50"/>
        <v>4758.9964702057287</v>
      </c>
      <c r="S78" s="123">
        <f t="shared" si="50"/>
        <v>6962.0248696448816</v>
      </c>
      <c r="T78" s="123">
        <f t="shared" si="50"/>
        <v>9635.7445387445987</v>
      </c>
      <c r="U78" s="123">
        <f t="shared" si="50"/>
        <v>12807.515791090012</v>
      </c>
      <c r="V78" s="123">
        <f t="shared" si="50"/>
        <v>16489.393160839754</v>
      </c>
      <c r="W78" s="123">
        <f t="shared" si="50"/>
        <v>20674.352136569505</v>
      </c>
      <c r="X78" s="123">
        <f t="shared" si="50"/>
        <v>25333.049459899867</v>
      </c>
      <c r="Y78" s="123">
        <f t="shared" si="50"/>
        <v>30411.474840365943</v>
      </c>
      <c r="Z78" s="123">
        <f t="shared" si="50"/>
        <v>35829.837170138228</v>
      </c>
      <c r="AA78" s="123">
        <f t="shared" si="50"/>
        <v>41482.975486165829</v>
      </c>
    </row>
    <row r="79" spans="3:27" outlineLevel="1" x14ac:dyDescent="0.45">
      <c r="C79" s="27" t="s">
        <v>13</v>
      </c>
      <c r="D79" s="25" t="s">
        <v>18</v>
      </c>
      <c r="E79" s="28" t="str">
        <f>IFERROR(E78/D78-1,"N/A")</f>
        <v>N/A</v>
      </c>
      <c r="F79" s="28">
        <f>IFERROR(F78/E78-1,"N/A")</f>
        <v>2.7830065286990386</v>
      </c>
      <c r="G79" s="28">
        <f>IFERROR(G78/F78-1,"N/A")</f>
        <v>2.5644359207079077</v>
      </c>
      <c r="H79" s="28">
        <f>IFERROR(H78/G78-1,"N/A")</f>
        <v>-0.5822915678764532</v>
      </c>
      <c r="I79" s="28">
        <f t="shared" ref="I79:AA79" si="51">IFERROR(I78/H78-1,"N/A")</f>
        <v>0.16790385549497877</v>
      </c>
      <c r="J79" s="28">
        <f t="shared" si="51"/>
        <v>-0.5402800294660951</v>
      </c>
      <c r="K79" s="28">
        <f t="shared" si="51"/>
        <v>0.11144797443734245</v>
      </c>
      <c r="L79" s="28">
        <f t="shared" si="51"/>
        <v>-0.14773316233469713</v>
      </c>
      <c r="M79" s="28">
        <f t="shared" si="51"/>
        <v>-0.33702998219188918</v>
      </c>
      <c r="N79" s="28">
        <f t="shared" si="51"/>
        <v>-0.79657552252543029</v>
      </c>
      <c r="O79" s="28">
        <f t="shared" si="51"/>
        <v>-6.9656790371394308</v>
      </c>
      <c r="P79" s="28">
        <f t="shared" si="51"/>
        <v>1.8969379372891382</v>
      </c>
      <c r="Q79" s="28">
        <f t="shared" si="51"/>
        <v>0.86427235274882186</v>
      </c>
      <c r="R79" s="28">
        <f t="shared" si="51"/>
        <v>0.59272381036860122</v>
      </c>
      <c r="S79" s="28">
        <f t="shared" si="51"/>
        <v>0.46291868742317366</v>
      </c>
      <c r="T79" s="28">
        <f t="shared" si="51"/>
        <v>0.38404339529974951</v>
      </c>
      <c r="U79" s="28">
        <f t="shared" si="51"/>
        <v>0.32916722102707907</v>
      </c>
      <c r="V79" s="28">
        <f t="shared" si="51"/>
        <v>0.28747787079139631</v>
      </c>
      <c r="W79" s="28">
        <f t="shared" si="51"/>
        <v>0.25379702787780611</v>
      </c>
      <c r="X79" s="28">
        <f t="shared" si="51"/>
        <v>0.22533704043329594</v>
      </c>
      <c r="Y79" s="28">
        <f t="shared" si="51"/>
        <v>0.20046640608762112</v>
      </c>
      <c r="Z79" s="28">
        <f t="shared" si="51"/>
        <v>0.17816835119684327</v>
      </c>
      <c r="AA79" s="28">
        <f t="shared" si="51"/>
        <v>0.15777739343842501</v>
      </c>
    </row>
    <row r="80" spans="3:27" outlineLevel="1" x14ac:dyDescent="0.45">
      <c r="C80" s="27" t="s">
        <v>97</v>
      </c>
      <c r="D80" s="25" t="s">
        <v>18</v>
      </c>
      <c r="E80" s="28">
        <f>E78/E59</f>
        <v>-6.7486853105860306E-2</v>
      </c>
      <c r="F80" s="28">
        <f t="shared" ref="F80:AA80" si="52">F78/F59</f>
        <v>-0.23922905779484346</v>
      </c>
      <c r="G80" s="28">
        <f t="shared" si="52"/>
        <v>-0.79219588633393512</v>
      </c>
      <c r="H80" s="28">
        <f t="shared" si="52"/>
        <v>-0.25068704667823599</v>
      </c>
      <c r="I80" s="28">
        <f t="shared" si="52"/>
        <v>-0.22402098978501742</v>
      </c>
      <c r="J80" s="28">
        <f t="shared" si="52"/>
        <v>-7.9593832453613664E-2</v>
      </c>
      <c r="K80" s="28">
        <f t="shared" si="52"/>
        <v>-6.9061775442614493E-2</v>
      </c>
      <c r="L80" s="28">
        <f t="shared" si="52"/>
        <v>-4.6417195337707259E-2</v>
      </c>
      <c r="M80" s="28">
        <f t="shared" si="52"/>
        <v>-2.4516561859279969E-2</v>
      </c>
      <c r="N80" s="28">
        <f t="shared" si="52"/>
        <v>-4.0141713747605745E-3</v>
      </c>
      <c r="O80" s="28">
        <f t="shared" si="52"/>
        <v>1.9474249485329709E-2</v>
      </c>
      <c r="P80" s="28">
        <f t="shared" si="52"/>
        <v>4.6355623066382884E-2</v>
      </c>
      <c r="Q80" s="28">
        <f t="shared" si="52"/>
        <v>7.1752648886269046E-2</v>
      </c>
      <c r="R80" s="28">
        <f t="shared" si="52"/>
        <v>9.5885875968211187E-2</v>
      </c>
      <c r="S80" s="28">
        <f t="shared" si="52"/>
        <v>0.118939986007723</v>
      </c>
      <c r="T80" s="28">
        <f t="shared" si="52"/>
        <v>0.14106996830376284</v>
      </c>
      <c r="U80" s="28">
        <f t="shared" si="52"/>
        <v>0.16240617566430532</v>
      </c>
      <c r="V80" s="28">
        <f t="shared" si="52"/>
        <v>0.18305847294104638</v>
      </c>
      <c r="W80" s="28">
        <f t="shared" si="52"/>
        <v>0.2031196482567712</v>
      </c>
      <c r="X80" s="28">
        <f t="shared" si="52"/>
        <v>0.22266822385014148</v>
      </c>
      <c r="Y80" s="28">
        <f t="shared" si="52"/>
        <v>0.24177077700519473</v>
      </c>
      <c r="Z80" s="28">
        <f t="shared" si="52"/>
        <v>0.2604838603670957</v>
      </c>
      <c r="AA80" s="28">
        <f t="shared" si="52"/>
        <v>0.27885559397928317</v>
      </c>
    </row>
    <row r="81" spans="3:27" outlineLevel="1" x14ac:dyDescent="0.45">
      <c r="I81" s="118"/>
      <c r="J81" s="118"/>
      <c r="K81" s="118"/>
      <c r="L81" s="118"/>
      <c r="M81" s="118"/>
      <c r="N81" s="118"/>
      <c r="O81" s="118"/>
      <c r="P81" s="118"/>
      <c r="Q81" s="118"/>
      <c r="R81" s="118"/>
      <c r="S81" s="118"/>
      <c r="T81" s="118"/>
      <c r="U81" s="118"/>
      <c r="V81" s="118"/>
      <c r="W81" s="118"/>
      <c r="X81" s="118"/>
      <c r="Y81" s="118"/>
      <c r="Z81" s="118"/>
      <c r="AA81" s="118"/>
    </row>
    <row r="82" spans="3:27" outlineLevel="1" x14ac:dyDescent="0.45">
      <c r="C82" s="5" t="s">
        <v>50</v>
      </c>
      <c r="D82" s="25" t="s">
        <v>56</v>
      </c>
      <c r="H82" s="74">
        <v>1</v>
      </c>
      <c r="I82" s="13">
        <f t="shared" ref="I82:AA82" si="53">H82+1</f>
        <v>2</v>
      </c>
      <c r="J82" s="13">
        <f t="shared" si="53"/>
        <v>3</v>
      </c>
      <c r="K82" s="13">
        <f t="shared" si="53"/>
        <v>4</v>
      </c>
      <c r="L82" s="13">
        <f t="shared" si="53"/>
        <v>5</v>
      </c>
      <c r="M82" s="13">
        <f t="shared" si="53"/>
        <v>6</v>
      </c>
      <c r="N82" s="13">
        <f t="shared" si="53"/>
        <v>7</v>
      </c>
      <c r="O82" s="13">
        <f t="shared" si="53"/>
        <v>8</v>
      </c>
      <c r="P82" s="13">
        <f t="shared" si="53"/>
        <v>9</v>
      </c>
      <c r="Q82" s="13">
        <f t="shared" si="53"/>
        <v>10</v>
      </c>
      <c r="R82" s="13">
        <f t="shared" si="53"/>
        <v>11</v>
      </c>
      <c r="S82" s="13">
        <f t="shared" si="53"/>
        <v>12</v>
      </c>
      <c r="T82" s="13">
        <f t="shared" si="53"/>
        <v>13</v>
      </c>
      <c r="U82" s="13">
        <f t="shared" si="53"/>
        <v>14</v>
      </c>
      <c r="V82" s="13">
        <f t="shared" si="53"/>
        <v>15</v>
      </c>
      <c r="W82" s="13">
        <f t="shared" si="53"/>
        <v>16</v>
      </c>
      <c r="X82" s="13">
        <f t="shared" si="53"/>
        <v>17</v>
      </c>
      <c r="Y82" s="13">
        <f t="shared" si="53"/>
        <v>18</v>
      </c>
      <c r="Z82" s="13">
        <f t="shared" si="53"/>
        <v>19</v>
      </c>
      <c r="AA82" s="13">
        <f t="shared" si="53"/>
        <v>20</v>
      </c>
    </row>
    <row r="83" spans="3:27" outlineLevel="1" x14ac:dyDescent="0.45">
      <c r="C83" s="5" t="s">
        <v>2</v>
      </c>
      <c r="D83" s="25" t="s">
        <v>18</v>
      </c>
      <c r="H83" s="75">
        <f>$E$12</f>
        <v>0.14017151654187768</v>
      </c>
      <c r="I83" s="76">
        <f t="shared" ref="I83:Z83" si="54">H83-($H83-$AA83)/($AA$82-1)</f>
        <v>0.13701362180503557</v>
      </c>
      <c r="J83" s="76">
        <f t="shared" si="54"/>
        <v>0.13385572706819346</v>
      </c>
      <c r="K83" s="76">
        <f t="shared" si="54"/>
        <v>0.13069783233135135</v>
      </c>
      <c r="L83" s="76">
        <f t="shared" si="54"/>
        <v>0.12753993759450924</v>
      </c>
      <c r="M83" s="76">
        <f t="shared" si="54"/>
        <v>0.12438204285766713</v>
      </c>
      <c r="N83" s="76">
        <f t="shared" si="54"/>
        <v>0.12122414812082502</v>
      </c>
      <c r="O83" s="76">
        <f t="shared" si="54"/>
        <v>0.11806625338398291</v>
      </c>
      <c r="P83" s="76">
        <f t="shared" si="54"/>
        <v>0.1149083586471408</v>
      </c>
      <c r="Q83" s="76">
        <f t="shared" si="54"/>
        <v>0.11175046391029869</v>
      </c>
      <c r="R83" s="76">
        <f t="shared" si="54"/>
        <v>0.10859256917345658</v>
      </c>
      <c r="S83" s="76">
        <f t="shared" si="54"/>
        <v>0.10543467443661447</v>
      </c>
      <c r="T83" s="76">
        <f t="shared" si="54"/>
        <v>0.10227677969977236</v>
      </c>
      <c r="U83" s="76">
        <f t="shared" si="54"/>
        <v>9.9118884962930254E-2</v>
      </c>
      <c r="V83" s="76">
        <f t="shared" si="54"/>
        <v>9.5960990226088144E-2</v>
      </c>
      <c r="W83" s="76">
        <f t="shared" si="54"/>
        <v>9.2803095489246035E-2</v>
      </c>
      <c r="X83" s="76">
        <f t="shared" si="54"/>
        <v>8.9645200752403925E-2</v>
      </c>
      <c r="Y83" s="76">
        <f t="shared" si="54"/>
        <v>8.6487306015561816E-2</v>
      </c>
      <c r="Z83" s="76">
        <f t="shared" si="54"/>
        <v>8.3329411278719706E-2</v>
      </c>
      <c r="AA83" s="76">
        <f>$E$14</f>
        <v>8.017151654187768E-2</v>
      </c>
    </row>
    <row r="84" spans="3:27" outlineLevel="1" x14ac:dyDescent="0.45">
      <c r="C84" s="5" t="s">
        <v>51</v>
      </c>
      <c r="D84" s="25" t="s">
        <v>56</v>
      </c>
      <c r="H84" s="77">
        <f>1/((1+H83)^H82)</f>
        <v>0.8770610258998438</v>
      </c>
      <c r="I84" s="77">
        <f t="shared" ref="I84:AA84" si="55">H84/(1+I83)</f>
        <v>0.7713724876114405</v>
      </c>
      <c r="J84" s="77">
        <f t="shared" si="55"/>
        <v>0.68030920442230813</v>
      </c>
      <c r="K84" s="77">
        <f t="shared" si="55"/>
        <v>0.60167198076218054</v>
      </c>
      <c r="L84" s="77">
        <f t="shared" si="55"/>
        <v>0.53361478445347665</v>
      </c>
      <c r="M84" s="77">
        <f t="shared" si="55"/>
        <v>0.47458494009497948</v>
      </c>
      <c r="N84" s="77">
        <f t="shared" si="55"/>
        <v>0.42327391975135864</v>
      </c>
      <c r="O84" s="77">
        <f t="shared" si="55"/>
        <v>0.3785767779595004</v>
      </c>
      <c r="P84" s="77">
        <f t="shared" si="55"/>
        <v>0.3395586507386808</v>
      </c>
      <c r="Q84" s="77">
        <f t="shared" si="55"/>
        <v>0.30542703759652134</v>
      </c>
      <c r="R84" s="77">
        <f t="shared" si="55"/>
        <v>0.27550882631681478</v>
      </c>
      <c r="S84" s="77">
        <f t="shared" si="55"/>
        <v>0.24923121437024587</v>
      </c>
      <c r="T84" s="77">
        <f t="shared" si="55"/>
        <v>0.22610583744504634</v>
      </c>
      <c r="U84" s="77">
        <f t="shared" si="55"/>
        <v>0.2057155422751854</v>
      </c>
      <c r="V84" s="77">
        <f t="shared" si="55"/>
        <v>0.18770334355855853</v>
      </c>
      <c r="W84" s="77">
        <f t="shared" si="55"/>
        <v>0.17176318801926899</v>
      </c>
      <c r="X84" s="77">
        <f t="shared" si="55"/>
        <v>0.15763221634038849</v>
      </c>
      <c r="Y84" s="77">
        <f t="shared" si="55"/>
        <v>0.14508426878770245</v>
      </c>
      <c r="Z84" s="77">
        <f t="shared" si="55"/>
        <v>0.13392442527379611</v>
      </c>
      <c r="AA84" s="77">
        <f t="shared" si="55"/>
        <v>0.1239844073120437</v>
      </c>
    </row>
    <row r="85" spans="3:27" outlineLevel="1" x14ac:dyDescent="0.45">
      <c r="H85" s="20"/>
      <c r="I85" s="13"/>
      <c r="J85" s="13"/>
      <c r="K85" s="13"/>
      <c r="L85" s="13"/>
      <c r="M85" s="13"/>
      <c r="N85" s="13"/>
      <c r="O85" s="13"/>
      <c r="P85" s="13"/>
      <c r="Q85" s="13"/>
    </row>
    <row r="86" spans="3:27" outlineLevel="1" x14ac:dyDescent="0.45">
      <c r="C86" s="17" t="s">
        <v>54</v>
      </c>
      <c r="D86" s="26" t="s">
        <v>20</v>
      </c>
      <c r="H86" s="102">
        <f t="shared" ref="H86:AA86" si="56">H78*H84</f>
        <v>-1185.8615834404054</v>
      </c>
      <c r="I86" s="102">
        <f t="shared" si="56"/>
        <v>-1218.0789120052532</v>
      </c>
      <c r="J86" s="102">
        <f t="shared" si="56"/>
        <v>-493.86812463606077</v>
      </c>
      <c r="K86" s="102">
        <f t="shared" si="56"/>
        <v>-485.46013892512781</v>
      </c>
      <c r="L86" s="102">
        <f t="shared" si="56"/>
        <v>-366.94183826158076</v>
      </c>
      <c r="M86" s="102">
        <f t="shared" si="56"/>
        <v>-216.36012296010693</v>
      </c>
      <c r="N86" s="102">
        <f t="shared" si="56"/>
        <v>-39.254367677737982</v>
      </c>
      <c r="O86" s="102">
        <f t="shared" si="56"/>
        <v>209.44998354298767</v>
      </c>
      <c r="P86" s="102">
        <f t="shared" si="56"/>
        <v>544.22733364967269</v>
      </c>
      <c r="Q86" s="102">
        <f t="shared" si="56"/>
        <v>912.60404620362306</v>
      </c>
      <c r="R86" s="102">
        <f t="shared" si="56"/>
        <v>1311.1455319522447</v>
      </c>
      <c r="S86" s="102">
        <f t="shared" si="56"/>
        <v>1735.1539127374465</v>
      </c>
      <c r="T86" s="102">
        <f t="shared" si="56"/>
        <v>2178.6980883393794</v>
      </c>
      <c r="U86" s="102">
        <f t="shared" si="56"/>
        <v>2634.7050561620822</v>
      </c>
      <c r="V86" s="102">
        <f t="shared" si="56"/>
        <v>3095.1142295412496</v>
      </c>
      <c r="W86" s="102">
        <f t="shared" si="56"/>
        <v>3551.0926332101635</v>
      </c>
      <c r="X86" s="102">
        <f t="shared" si="56"/>
        <v>3993.3047330246973</v>
      </c>
      <c r="Y86" s="102">
        <f t="shared" si="56"/>
        <v>4412.2265899701033</v>
      </c>
      <c r="Z86" s="102">
        <f t="shared" si="56"/>
        <v>4798.4903506644596</v>
      </c>
      <c r="AA86" s="102">
        <f t="shared" si="56"/>
        <v>5143.2421291923083</v>
      </c>
    </row>
    <row r="87" spans="3:27" outlineLevel="1" x14ac:dyDescent="0.45">
      <c r="G87" s="37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  <c r="AA87" s="33"/>
    </row>
    <row r="88" spans="3:27" outlineLevel="1" x14ac:dyDescent="0.45">
      <c r="C88" s="34" t="s">
        <v>10</v>
      </c>
      <c r="D88" s="35" t="s">
        <v>20</v>
      </c>
      <c r="E88" s="103">
        <f t="shared" ref="E88:AA88" si="57">E62+E69</f>
        <v>570</v>
      </c>
      <c r="F88" s="103">
        <f t="shared" si="57"/>
        <v>682</v>
      </c>
      <c r="G88" s="103">
        <f t="shared" si="57"/>
        <v>138</v>
      </c>
      <c r="H88" s="103">
        <f t="shared" si="57"/>
        <v>1019.1144000000004</v>
      </c>
      <c r="I88" s="103">
        <f t="shared" si="57"/>
        <v>1707.7867753326148</v>
      </c>
      <c r="J88" s="103">
        <f t="shared" si="57"/>
        <v>2639.8732674553444</v>
      </c>
      <c r="K88" s="103">
        <f t="shared" si="57"/>
        <v>2795.9819066385553</v>
      </c>
      <c r="L88" s="103">
        <f t="shared" si="57"/>
        <v>3165.0892195313891</v>
      </c>
      <c r="M88" s="103">
        <f t="shared" si="57"/>
        <v>3784.0197503433442</v>
      </c>
      <c r="N88" s="103">
        <f t="shared" si="57"/>
        <v>4700.8764366564319</v>
      </c>
      <c r="O88" s="103">
        <f t="shared" si="57"/>
        <v>5973.5031394742873</v>
      </c>
      <c r="P88" s="103">
        <f t="shared" si="57"/>
        <v>7733.77278953112</v>
      </c>
      <c r="Q88" s="103">
        <f t="shared" si="57"/>
        <v>9925.8204068493797</v>
      </c>
      <c r="R88" s="103">
        <f t="shared" si="57"/>
        <v>12611.751020891612</v>
      </c>
      <c r="S88" s="103">
        <f t="shared" si="57"/>
        <v>15849.002147675536</v>
      </c>
      <c r="T88" s="103">
        <f t="shared" si="57"/>
        <v>19685.791822851523</v>
      </c>
      <c r="U88" s="103">
        <f t="shared" si="57"/>
        <v>24156.074303752819</v>
      </c>
      <c r="V88" s="103">
        <f t="shared" si="57"/>
        <v>29274.301179192196</v>
      </c>
      <c r="W88" s="103">
        <f t="shared" si="57"/>
        <v>35030.37282227807</v>
      </c>
      <c r="X88" s="103">
        <f t="shared" si="57"/>
        <v>41385.230954582439</v>
      </c>
      <c r="Y88" s="103">
        <f t="shared" si="57"/>
        <v>48267.575145354844</v>
      </c>
      <c r="Z88" s="103">
        <f t="shared" si="57"/>
        <v>55572.173680240536</v>
      </c>
      <c r="AA88" s="103">
        <f t="shared" si="57"/>
        <v>63160.175349226607</v>
      </c>
    </row>
    <row r="89" spans="3:27" outlineLevel="1" x14ac:dyDescent="0.45">
      <c r="C89" s="27" t="s">
        <v>13</v>
      </c>
      <c r="D89" s="25" t="s">
        <v>18</v>
      </c>
      <c r="E89" s="28" t="str">
        <f>IFERROR(E88/D88-1,"N/A")</f>
        <v>N/A</v>
      </c>
      <c r="F89" s="28">
        <f>IFERROR(F88/E88-1,"N/A")</f>
        <v>0.19649122807017538</v>
      </c>
      <c r="G89" s="28">
        <f>IFERROR(G88/F88-1,"N/A")</f>
        <v>-0.79765395894428148</v>
      </c>
      <c r="H89" s="28">
        <f>IFERROR(H88/G88-1,"N/A")</f>
        <v>6.3848869565217417</v>
      </c>
      <c r="I89" s="28">
        <f t="shared" ref="I89:AA89" si="58">IFERROR(I88/H88-1,"N/A")</f>
        <v>0.67575571038208682</v>
      </c>
      <c r="J89" s="28">
        <f t="shared" si="58"/>
        <v>0.54578622201895954</v>
      </c>
      <c r="K89" s="28">
        <f t="shared" si="58"/>
        <v>5.9134899052820433E-2</v>
      </c>
      <c r="L89" s="28">
        <f t="shared" si="58"/>
        <v>0.1320134840702849</v>
      </c>
      <c r="M89" s="28">
        <f t="shared" si="58"/>
        <v>0.19554915766437442</v>
      </c>
      <c r="N89" s="28">
        <f t="shared" si="58"/>
        <v>0.24229701397036751</v>
      </c>
      <c r="O89" s="28">
        <f t="shared" si="58"/>
        <v>0.27072115593045232</v>
      </c>
      <c r="P89" s="28">
        <f t="shared" si="58"/>
        <v>0.29467962248560053</v>
      </c>
      <c r="Q89" s="28">
        <f t="shared" si="58"/>
        <v>0.28343832654167733</v>
      </c>
      <c r="R89" s="28">
        <f t="shared" si="58"/>
        <v>0.27060036389423159</v>
      </c>
      <c r="S89" s="28">
        <f t="shared" si="58"/>
        <v>0.25668530257387356</v>
      </c>
      <c r="T89" s="28">
        <f t="shared" si="58"/>
        <v>0.24208398985791679</v>
      </c>
      <c r="U89" s="28">
        <f t="shared" si="58"/>
        <v>0.22708166992359091</v>
      </c>
      <c r="V89" s="28">
        <f t="shared" si="58"/>
        <v>0.21188156697482197</v>
      </c>
      <c r="W89" s="28">
        <f t="shared" si="58"/>
        <v>0.19662541585030957</v>
      </c>
      <c r="X89" s="28">
        <f t="shared" si="58"/>
        <v>0.18140994857647952</v>
      </c>
      <c r="Y89" s="28">
        <f t="shared" si="58"/>
        <v>0.16629952357461342</v>
      </c>
      <c r="Z89" s="28">
        <f t="shared" si="58"/>
        <v>0.15133551898740172</v>
      </c>
      <c r="AA89" s="28">
        <f t="shared" si="58"/>
        <v>0.13654318639121521</v>
      </c>
    </row>
    <row r="90" spans="3:27" x14ac:dyDescent="0.45">
      <c r="C90" s="27" t="s">
        <v>97</v>
      </c>
      <c r="D90" s="25" t="s">
        <v>18</v>
      </c>
      <c r="E90" s="28">
        <f>E88/E59</f>
        <v>0.16024739949395558</v>
      </c>
      <c r="F90" s="28">
        <f>F88/F59</f>
        <v>0.17966280295047418</v>
      </c>
      <c r="G90" s="28">
        <f>G88/G59</f>
        <v>3.3773861967694566E-2</v>
      </c>
      <c r="H90" s="28">
        <f>H88/H59</f>
        <v>0.18895163084590402</v>
      </c>
      <c r="I90" s="28">
        <f t="shared" ref="I90:AA90" si="59">I88/I59</f>
        <v>0.24227638128007228</v>
      </c>
      <c r="J90" s="28">
        <f t="shared" si="59"/>
        <v>0.28943953039886244</v>
      </c>
      <c r="K90" s="28">
        <f t="shared" si="59"/>
        <v>0.23931962142705962</v>
      </c>
      <c r="L90" s="28">
        <f t="shared" si="59"/>
        <v>0.21364634808186728</v>
      </c>
      <c r="M90" s="28">
        <f t="shared" si="59"/>
        <v>0.20349310259680101</v>
      </c>
      <c r="N90" s="28">
        <f t="shared" si="59"/>
        <v>0.20347369393185763</v>
      </c>
      <c r="O90" s="28">
        <f t="shared" si="59"/>
        <v>0.21026329497527138</v>
      </c>
      <c r="P90" s="28">
        <f t="shared" si="59"/>
        <v>0.22368058016811376</v>
      </c>
      <c r="Q90" s="28">
        <f t="shared" si="59"/>
        <v>0.23835784012841002</v>
      </c>
      <c r="R90" s="28">
        <f t="shared" si="59"/>
        <v>0.25410583968743666</v>
      </c>
      <c r="S90" s="28">
        <f t="shared" si="59"/>
        <v>0.27076606719692081</v>
      </c>
      <c r="T90" s="28">
        <f t="shared" si="59"/>
        <v>0.28820544352517169</v>
      </c>
      <c r="U90" s="28">
        <f t="shared" si="59"/>
        <v>0.30631198982901336</v>
      </c>
      <c r="V90" s="28">
        <f t="shared" si="59"/>
        <v>0.32499127275380485</v>
      </c>
      <c r="W90" s="28">
        <f t="shared" si="59"/>
        <v>0.34416348134937641</v>
      </c>
      <c r="X90" s="28">
        <f t="shared" si="59"/>
        <v>0.36376101838318486</v>
      </c>
      <c r="Y90" s="28">
        <f t="shared" si="59"/>
        <v>0.38372651140087372</v>
      </c>
      <c r="Z90" s="28">
        <f t="shared" si="59"/>
        <v>0.40401116701932033</v>
      </c>
      <c r="AA90" s="28">
        <f t="shared" si="59"/>
        <v>0.42457340647413022</v>
      </c>
    </row>
    <row r="93" spans="3:27" x14ac:dyDescent="0.45">
      <c r="H93" s="37"/>
    </row>
  </sheetData>
  <pageMargins left="0.75" right="0.75" top="1" bottom="1" header="0.5" footer="0.5"/>
  <pageSetup scale="40" orientation="portrait" horizontalDpi="200" verticalDpi="200" r:id="rId1"/>
  <headerFooter alignWithMargins="0"/>
  <rowBreaks count="2" manualBreakCount="2">
    <brk id="27" max="27" man="1"/>
    <brk id="56" max="27" man="1"/>
  </rowBreaks>
  <colBreaks count="1" manualBreakCount="1">
    <brk id="16" max="108" man="1"/>
  </col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B2:V46"/>
  <sheetViews>
    <sheetView showGridLines="0" zoomScaleNormal="100" workbookViewId="0">
      <pane xSplit="3" topLeftCell="D1" activePane="topRight" state="frozen"/>
      <selection pane="topRight" activeCell="B2" sqref="B2"/>
    </sheetView>
  </sheetViews>
  <sheetFormatPr defaultColWidth="9.15234375" defaultRowHeight="15.9" customHeight="1" x14ac:dyDescent="0.4"/>
  <cols>
    <col min="1" max="1" width="2.53515625" customWidth="1"/>
    <col min="2" max="2" width="42.4609375" bestFit="1" customWidth="1"/>
    <col min="3" max="3" width="15.765625" bestFit="1" customWidth="1"/>
    <col min="4" max="12" width="12.69140625" customWidth="1"/>
    <col min="13" max="13" width="2.53515625" customWidth="1"/>
    <col min="14" max="22" width="12.69140625" customWidth="1"/>
    <col min="23" max="23" width="2.69140625" customWidth="1"/>
  </cols>
  <sheetData>
    <row r="2" spans="2:22" ht="15.9" customHeight="1" x14ac:dyDescent="0.5">
      <c r="B2" s="39" t="str">
        <f>"Comparable Public Companies by Maturity and Industry - "&amp;Div_1</f>
        <v>Comparable Public Companies by Maturity and Industry - Starlink</v>
      </c>
      <c r="C2" s="40"/>
    </row>
    <row r="3" spans="2:22" ht="15.9" customHeight="1" x14ac:dyDescent="0.45">
      <c r="B3" s="5" t="str">
        <f>STLK!$B$3</f>
        <v>($ in Millions USD Except Per Share Data)</v>
      </c>
      <c r="C3" s="6"/>
      <c r="D3" s="6"/>
      <c r="E3" s="6"/>
      <c r="F3" s="6"/>
      <c r="G3" s="6"/>
      <c r="H3" s="6"/>
      <c r="I3" s="6"/>
      <c r="J3" s="6"/>
      <c r="K3" s="6"/>
      <c r="L3" s="6"/>
    </row>
    <row r="4" spans="2:22" ht="15.9" customHeight="1" x14ac:dyDescent="0.45">
      <c r="B4" s="6"/>
      <c r="C4" s="6"/>
      <c r="D4" s="6"/>
      <c r="E4" s="6"/>
      <c r="F4" s="6"/>
      <c r="G4" s="6"/>
      <c r="H4" s="6"/>
      <c r="I4" s="6"/>
      <c r="J4" s="6"/>
      <c r="K4" s="6"/>
      <c r="L4" s="6"/>
      <c r="S4" s="41"/>
    </row>
    <row r="5" spans="2:22" ht="15.9" customHeight="1" x14ac:dyDescent="0.45">
      <c r="B5" s="47" t="s">
        <v>117</v>
      </c>
      <c r="C5" s="47"/>
      <c r="D5" s="47"/>
      <c r="E5" s="47"/>
      <c r="F5" s="47"/>
      <c r="G5" s="47"/>
      <c r="H5" s="47"/>
      <c r="I5" s="47"/>
      <c r="J5" s="47"/>
      <c r="K5" s="47"/>
      <c r="L5" s="47"/>
      <c r="N5" s="110" t="s">
        <v>127</v>
      </c>
      <c r="O5" s="110"/>
      <c r="P5" s="110"/>
      <c r="Q5" s="139"/>
      <c r="R5" s="139"/>
      <c r="S5" s="110" t="s">
        <v>67</v>
      </c>
      <c r="T5" s="110"/>
      <c r="U5" s="110"/>
      <c r="V5" s="110"/>
    </row>
    <row r="6" spans="2:22" ht="15.9" customHeight="1" x14ac:dyDescent="0.45">
      <c r="B6" s="47"/>
      <c r="C6" s="47"/>
      <c r="D6" s="48" t="s">
        <v>32</v>
      </c>
      <c r="E6" s="48"/>
      <c r="F6" s="48"/>
      <c r="G6" s="48" t="s">
        <v>33</v>
      </c>
      <c r="H6" s="48"/>
      <c r="I6" s="48" t="s">
        <v>34</v>
      </c>
      <c r="J6" s="48"/>
      <c r="K6" s="48"/>
      <c r="L6" s="48" t="s">
        <v>35</v>
      </c>
      <c r="N6" s="110"/>
      <c r="O6" s="48" t="s">
        <v>105</v>
      </c>
      <c r="P6" s="48" t="s">
        <v>110</v>
      </c>
      <c r="Q6" s="110" t="s">
        <v>111</v>
      </c>
      <c r="R6" s="139" t="s">
        <v>106</v>
      </c>
      <c r="S6" s="48" t="s">
        <v>102</v>
      </c>
      <c r="T6" s="48" t="s">
        <v>63</v>
      </c>
      <c r="U6" s="48" t="s">
        <v>99</v>
      </c>
      <c r="V6" s="48" t="s">
        <v>99</v>
      </c>
    </row>
    <row r="7" spans="2:22" ht="15.9" customHeight="1" x14ac:dyDescent="0.45">
      <c r="B7" s="49" t="s">
        <v>36</v>
      </c>
      <c r="C7" s="49" t="s">
        <v>37</v>
      </c>
      <c r="D7" s="50" t="s">
        <v>38</v>
      </c>
      <c r="E7" s="50" t="s">
        <v>39</v>
      </c>
      <c r="F7" s="50" t="s">
        <v>40</v>
      </c>
      <c r="G7" s="50" t="s">
        <v>41</v>
      </c>
      <c r="H7" s="50" t="s">
        <v>42</v>
      </c>
      <c r="I7" s="50" t="s">
        <v>43</v>
      </c>
      <c r="J7" s="50" t="s">
        <v>44</v>
      </c>
      <c r="K7" s="50" t="s">
        <v>45</v>
      </c>
      <c r="L7" s="50" t="s">
        <v>38</v>
      </c>
      <c r="N7" s="110" t="s">
        <v>104</v>
      </c>
      <c r="O7" s="48" t="s">
        <v>120</v>
      </c>
      <c r="P7" s="48" t="s">
        <v>65</v>
      </c>
      <c r="Q7" s="110" t="s">
        <v>64</v>
      </c>
      <c r="R7" s="139" t="s">
        <v>65</v>
      </c>
      <c r="S7" s="50" t="s">
        <v>103</v>
      </c>
      <c r="T7" s="50" t="s">
        <v>64</v>
      </c>
      <c r="U7" s="50" t="s">
        <v>65</v>
      </c>
      <c r="V7" s="50" t="s">
        <v>63</v>
      </c>
    </row>
    <row r="8" spans="2:22" ht="15.9" customHeight="1" x14ac:dyDescent="0.45">
      <c r="B8" s="5" t="s">
        <v>100</v>
      </c>
      <c r="C8" s="5" t="s">
        <v>101</v>
      </c>
      <c r="D8" s="51">
        <v>0.8</v>
      </c>
      <c r="E8" s="142">
        <f>1753.22+7.97</f>
        <v>1761.19</v>
      </c>
      <c r="F8" s="52">
        <f t="shared" ref="F8:F13" si="0">E8/($E8+$G8+$I8)</f>
        <v>0.24339982227234341</v>
      </c>
      <c r="G8" s="111">
        <v>0</v>
      </c>
      <c r="H8" s="52">
        <f t="shared" ref="H8:H9" si="1">G8/($E8+$G8+$I8)</f>
        <v>0</v>
      </c>
      <c r="I8" s="111">
        <v>5474.6</v>
      </c>
      <c r="J8" s="52">
        <f t="shared" ref="J8:J15" si="2">I8/($I8+$G8+$E8)</f>
        <v>0.75660017772765653</v>
      </c>
      <c r="K8" s="115">
        <f>27.618/144.813</f>
        <v>0.19071492200285886</v>
      </c>
      <c r="L8" s="53">
        <f t="shared" ref="L8:L15" si="3">D8/(1+(E8/I8)*(1-K8)+G8/I8)</f>
        <v>0.6347449907653463</v>
      </c>
      <c r="N8" s="125">
        <v>48</v>
      </c>
      <c r="O8" s="140">
        <v>2.5550000000000002</v>
      </c>
      <c r="P8" s="111">
        <v>875.8</v>
      </c>
      <c r="Q8" s="99">
        <v>0.71599999999999997</v>
      </c>
      <c r="R8" s="12">
        <f>105.7/P8</f>
        <v>0.1206896551724138</v>
      </c>
      <c r="S8" s="12">
        <f>(963/872)^(1/3)-1</f>
        <v>3.3641491518023425E-2</v>
      </c>
      <c r="T8" s="99">
        <v>0.54300000000000004</v>
      </c>
      <c r="U8" s="146">
        <v>7.99</v>
      </c>
      <c r="V8" s="146">
        <v>14.71</v>
      </c>
    </row>
    <row r="9" spans="2:22" ht="15.9" customHeight="1" x14ac:dyDescent="0.45">
      <c r="B9" s="5" t="s">
        <v>108</v>
      </c>
      <c r="C9" s="5" t="s">
        <v>109</v>
      </c>
      <c r="D9" s="51">
        <v>1.2</v>
      </c>
      <c r="E9" s="141">
        <f>163.8+2439.4</f>
        <v>2603.2000000000003</v>
      </c>
      <c r="F9" s="52">
        <f t="shared" si="0"/>
        <v>0.32250950852980165</v>
      </c>
      <c r="G9" s="112">
        <v>0</v>
      </c>
      <c r="H9" s="52">
        <f t="shared" si="1"/>
        <v>0</v>
      </c>
      <c r="I9" s="112">
        <v>5468.5</v>
      </c>
      <c r="J9" s="52">
        <f t="shared" si="2"/>
        <v>0.67749049147019824</v>
      </c>
      <c r="K9" s="114">
        <v>0.25</v>
      </c>
      <c r="L9" s="53">
        <f t="shared" si="3"/>
        <v>0.88428627255454184</v>
      </c>
      <c r="N9" s="143" t="s">
        <v>107</v>
      </c>
      <c r="O9" s="140">
        <v>1.3</v>
      </c>
      <c r="P9" s="265">
        <v>1425.6</v>
      </c>
      <c r="Q9" s="99">
        <v>0.80600000000000005</v>
      </c>
      <c r="R9" s="12">
        <f>585.3/P9</f>
        <v>0.41056397306397308</v>
      </c>
      <c r="S9" s="12">
        <f>(1554.6/1442.6)^(1/3)-1</f>
        <v>2.5236938690891497E-2</v>
      </c>
      <c r="T9" s="99">
        <v>0.52500000000000002</v>
      </c>
      <c r="U9" s="146">
        <v>5.05</v>
      </c>
      <c r="V9" s="146">
        <v>9.6300000000000008</v>
      </c>
    </row>
    <row r="10" spans="2:22" ht="15.9" customHeight="1" x14ac:dyDescent="0.45">
      <c r="B10" s="5" t="s">
        <v>112</v>
      </c>
      <c r="C10" s="5" t="s">
        <v>113</v>
      </c>
      <c r="D10" s="51">
        <v>2.6</v>
      </c>
      <c r="E10" s="141">
        <f>2963.3+8.24</f>
        <v>2971.54</v>
      </c>
      <c r="F10" s="52">
        <f t="shared" si="0"/>
        <v>8.0633685676404804E-2</v>
      </c>
      <c r="G10" s="112">
        <v>0</v>
      </c>
      <c r="H10" s="52">
        <f t="shared" ref="H10" si="4">G10/($E10+$G10+$I10)</f>
        <v>0</v>
      </c>
      <c r="I10" s="112">
        <v>33880.800000000003</v>
      </c>
      <c r="J10" s="52">
        <f t="shared" si="2"/>
        <v>0.91936631432359517</v>
      </c>
      <c r="K10" s="114">
        <v>0.25</v>
      </c>
      <c r="L10" s="53">
        <f t="shared" si="3"/>
        <v>2.4395294805751013</v>
      </c>
      <c r="M10" s="125"/>
      <c r="N10" s="143" t="s">
        <v>107</v>
      </c>
      <c r="O10" s="140" t="s">
        <v>107</v>
      </c>
      <c r="P10" s="265">
        <v>84.9</v>
      </c>
      <c r="Q10" s="99">
        <v>0.44800000000000001</v>
      </c>
      <c r="R10" s="12">
        <f>1205.9/P10</f>
        <v>14.2037691401649</v>
      </c>
      <c r="S10" s="12">
        <f>(1795.1/70.9)^(1/3)-1</f>
        <v>1.9363927102741627</v>
      </c>
      <c r="T10" s="99" t="s">
        <v>114</v>
      </c>
      <c r="U10" s="146" t="s">
        <v>114</v>
      </c>
      <c r="V10" s="146" t="s">
        <v>114</v>
      </c>
    </row>
    <row r="11" spans="2:22" ht="15.9" customHeight="1" x14ac:dyDescent="0.45">
      <c r="B11" s="5" t="s">
        <v>115</v>
      </c>
      <c r="C11" s="5" t="s">
        <v>116</v>
      </c>
      <c r="D11" s="51">
        <v>2</v>
      </c>
      <c r="E11" s="141">
        <f>2374.5+1270.3</f>
        <v>3644.8</v>
      </c>
      <c r="F11" s="52">
        <f t="shared" si="0"/>
        <v>0.81542798335495992</v>
      </c>
      <c r="G11" s="112">
        <v>0</v>
      </c>
      <c r="H11" s="52">
        <f t="shared" ref="H11" si="5">G11/($E11+$G11+$I11)</f>
        <v>0</v>
      </c>
      <c r="I11" s="112">
        <v>825</v>
      </c>
      <c r="J11" s="52">
        <f t="shared" si="2"/>
        <v>0.18457201664504003</v>
      </c>
      <c r="K11" s="114">
        <v>0.25</v>
      </c>
      <c r="L11" s="53">
        <f t="shared" si="3"/>
        <v>0.46366548642724664</v>
      </c>
      <c r="N11" s="143" t="s">
        <v>107</v>
      </c>
      <c r="O11" s="140" t="s">
        <v>107</v>
      </c>
      <c r="P11" s="265">
        <v>281.7</v>
      </c>
      <c r="Q11" s="99">
        <v>0.45799999999999996</v>
      </c>
      <c r="R11" s="12">
        <f>468.8/P11</f>
        <v>1.6641817536386228</v>
      </c>
      <c r="S11" s="12">
        <f>(369.11/303.2)^(1/3)-1</f>
        <v>6.7764648424334606E-2</v>
      </c>
      <c r="T11" s="99">
        <v>0.4234</v>
      </c>
      <c r="U11" s="146">
        <v>16.96</v>
      </c>
      <c r="V11" s="146">
        <v>40.049999999999997</v>
      </c>
    </row>
    <row r="12" spans="2:22" ht="15.9" customHeight="1" x14ac:dyDescent="0.45">
      <c r="B12" s="5" t="s">
        <v>118</v>
      </c>
      <c r="C12" s="5" t="s">
        <v>119</v>
      </c>
      <c r="D12" s="51">
        <v>1.56</v>
      </c>
      <c r="E12" s="141">
        <f>42.4+423.16</f>
        <v>465.56</v>
      </c>
      <c r="F12" s="52">
        <f t="shared" si="0"/>
        <v>4.1160442265221218E-2</v>
      </c>
      <c r="G12" s="112">
        <v>0</v>
      </c>
      <c r="H12" s="52">
        <f t="shared" ref="H12" si="6">G12/($E12+$G12+$I12)</f>
        <v>0</v>
      </c>
      <c r="I12" s="112">
        <v>10845.3</v>
      </c>
      <c r="J12" s="52">
        <f t="shared" si="2"/>
        <v>0.9588395577347788</v>
      </c>
      <c r="K12" s="114">
        <v>0.25</v>
      </c>
      <c r="L12" s="53">
        <f t="shared" si="3"/>
        <v>1.5113415820489939</v>
      </c>
      <c r="N12" s="143">
        <v>13.97</v>
      </c>
      <c r="O12" s="140">
        <v>0.79400000000000004</v>
      </c>
      <c r="P12" s="265">
        <v>283</v>
      </c>
      <c r="Q12" s="99">
        <v>0.63700000000000001</v>
      </c>
      <c r="R12" s="12">
        <f>469.7/P12</f>
        <v>1.6597173144876325</v>
      </c>
      <c r="S12" s="12">
        <f>(414.04/273)^(1/3)-1</f>
        <v>0.14892906895434899</v>
      </c>
      <c r="T12" s="99">
        <v>0.49869999999999998</v>
      </c>
      <c r="U12" s="146">
        <v>36.89</v>
      </c>
      <c r="V12" s="146">
        <v>73.98</v>
      </c>
    </row>
    <row r="13" spans="2:22" ht="15.9" customHeight="1" x14ac:dyDescent="0.45">
      <c r="B13" s="5" t="s">
        <v>121</v>
      </c>
      <c r="C13" s="5" t="s">
        <v>122</v>
      </c>
      <c r="D13" s="51">
        <v>0.96</v>
      </c>
      <c r="E13" s="141">
        <f>6193.26+18015.27</f>
        <v>24208.53</v>
      </c>
      <c r="F13" s="52">
        <f t="shared" si="0"/>
        <v>0.39267987931132647</v>
      </c>
      <c r="G13" s="112">
        <v>0</v>
      </c>
      <c r="H13" s="52">
        <f t="shared" ref="H13" si="7">G13/($E13+$G13+$I13)</f>
        <v>0</v>
      </c>
      <c r="I13" s="112">
        <v>37441</v>
      </c>
      <c r="J13" s="52">
        <f t="shared" si="2"/>
        <v>0.60732012068867358</v>
      </c>
      <c r="K13" s="114">
        <v>0.25</v>
      </c>
      <c r="L13" s="53">
        <f t="shared" si="3"/>
        <v>0.64649357013518483</v>
      </c>
      <c r="N13" s="143">
        <v>37.409999999999997</v>
      </c>
      <c r="O13" s="140">
        <v>14.9</v>
      </c>
      <c r="P13" s="265">
        <v>14802.7</v>
      </c>
      <c r="Q13" s="99">
        <v>0.27100000000000002</v>
      </c>
      <c r="R13" s="12">
        <f>840.7/P13</f>
        <v>5.6793693042485494E-2</v>
      </c>
      <c r="S13" s="12">
        <f>(13292.05/15005)^(1/3)-1</f>
        <v>-3.9600359458698109E-2</v>
      </c>
      <c r="T13" s="99">
        <v>0.1386</v>
      </c>
      <c r="U13" s="146">
        <v>4.51</v>
      </c>
      <c r="V13" s="146">
        <v>32.56</v>
      </c>
    </row>
    <row r="14" spans="2:22" ht="15.9" customHeight="1" x14ac:dyDescent="0.45">
      <c r="B14" s="5" t="s">
        <v>123</v>
      </c>
      <c r="C14" s="5" t="s">
        <v>124</v>
      </c>
      <c r="D14" s="51">
        <v>1.67</v>
      </c>
      <c r="E14" s="141">
        <f>36.92+6100.64</f>
        <v>6137.56</v>
      </c>
      <c r="F14" s="52">
        <f t="shared" ref="F14:F15" si="8">E14/($E14+$G14+$I14)</f>
        <v>0.35792196765058526</v>
      </c>
      <c r="G14" s="112">
        <v>0</v>
      </c>
      <c r="H14" s="52">
        <f t="shared" ref="H14" si="9">G14/($E14+$G14+$I14)</f>
        <v>0</v>
      </c>
      <c r="I14" s="112">
        <v>11010.2</v>
      </c>
      <c r="J14" s="52">
        <f t="shared" si="2"/>
        <v>0.64207803234941474</v>
      </c>
      <c r="K14" s="114">
        <v>0.25</v>
      </c>
      <c r="L14" s="53">
        <f t="shared" si="3"/>
        <v>1.177646722008125</v>
      </c>
      <c r="N14" s="143">
        <v>112</v>
      </c>
      <c r="O14" s="140">
        <v>0.14299999999999999</v>
      </c>
      <c r="P14" s="265">
        <v>4640.3</v>
      </c>
      <c r="Q14" s="99">
        <v>0.33300000000000002</v>
      </c>
      <c r="R14" s="12">
        <f>942.2/P14</f>
        <v>0.20304721677477749</v>
      </c>
      <c r="S14" s="12">
        <f>(5078.16/4640.3)^(1/3)-1</f>
        <v>3.0512918390621646E-2</v>
      </c>
      <c r="T14" s="99">
        <v>0.32690000000000002</v>
      </c>
      <c r="U14" s="146">
        <v>3.35</v>
      </c>
      <c r="V14" s="146">
        <v>10.24</v>
      </c>
    </row>
    <row r="15" spans="2:22" ht="15.9" customHeight="1" x14ac:dyDescent="0.45">
      <c r="B15" s="5" t="s">
        <v>125</v>
      </c>
      <c r="C15" s="5" t="s">
        <v>126</v>
      </c>
      <c r="D15" s="51">
        <v>0.92</v>
      </c>
      <c r="E15" s="141">
        <f>798+5507</f>
        <v>6305</v>
      </c>
      <c r="F15" s="52">
        <f t="shared" si="8"/>
        <v>0.57686853253062753</v>
      </c>
      <c r="G15" s="112">
        <v>0</v>
      </c>
      <c r="H15" s="52">
        <f t="shared" ref="H15" si="10">G15/($E15+$G15+$I15)</f>
        <v>0</v>
      </c>
      <c r="I15" s="112">
        <v>4624.7</v>
      </c>
      <c r="J15" s="52">
        <f t="shared" si="2"/>
        <v>0.42313146746937241</v>
      </c>
      <c r="K15" s="114">
        <v>0.25</v>
      </c>
      <c r="L15" s="53">
        <f t="shared" si="3"/>
        <v>0.45488285071283852</v>
      </c>
      <c r="N15" s="140" t="s">
        <v>107</v>
      </c>
      <c r="O15" s="140" t="s">
        <v>107</v>
      </c>
      <c r="P15" s="265">
        <v>3463</v>
      </c>
      <c r="Q15" s="99">
        <v>0.60099999999999998</v>
      </c>
      <c r="R15" s="12">
        <f>605.5/3047.2</f>
        <v>0.19870700971383568</v>
      </c>
      <c r="S15" s="12">
        <f>(4116.06/3068.2)^(1/3)-1</f>
        <v>0.10289121422573166</v>
      </c>
      <c r="T15" s="99">
        <v>0.43269999999999997</v>
      </c>
      <c r="U15" s="146">
        <v>2.87</v>
      </c>
      <c r="V15" s="146">
        <v>6.64</v>
      </c>
    </row>
    <row r="16" spans="2:22" ht="15.9" customHeight="1" x14ac:dyDescent="0.45"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</row>
    <row r="17" spans="2:22" ht="15.9" customHeight="1" x14ac:dyDescent="0.45">
      <c r="B17" s="54" t="s">
        <v>46</v>
      </c>
      <c r="C17" s="55"/>
      <c r="D17" s="56">
        <f t="shared" ref="D17:L17" si="11">MEDIAN(D8:D15)</f>
        <v>1.38</v>
      </c>
      <c r="E17" s="113">
        <f t="shared" si="11"/>
        <v>3308.17</v>
      </c>
      <c r="F17" s="57">
        <f t="shared" si="11"/>
        <v>0.34021573809019345</v>
      </c>
      <c r="G17" s="113">
        <f t="shared" si="11"/>
        <v>0</v>
      </c>
      <c r="H17" s="57">
        <f t="shared" si="11"/>
        <v>0</v>
      </c>
      <c r="I17" s="113">
        <f t="shared" si="11"/>
        <v>8159.95</v>
      </c>
      <c r="J17" s="57">
        <f t="shared" si="11"/>
        <v>0.65978426190980644</v>
      </c>
      <c r="K17" s="57">
        <f t="shared" si="11"/>
        <v>0.25</v>
      </c>
      <c r="L17" s="58">
        <f t="shared" si="11"/>
        <v>0.76538992134486339</v>
      </c>
      <c r="N17" s="147">
        <f t="shared" ref="N17:V17" si="12">MEDIAN(N8:N15)</f>
        <v>42.704999999999998</v>
      </c>
      <c r="O17" s="148">
        <f t="shared" si="12"/>
        <v>1.3</v>
      </c>
      <c r="P17" s="113">
        <f t="shared" si="12"/>
        <v>1150.6999999999998</v>
      </c>
      <c r="Q17" s="57">
        <f t="shared" si="12"/>
        <v>0.52949999999999997</v>
      </c>
      <c r="R17" s="152">
        <f t="shared" si="12"/>
        <v>0.30680559491937531</v>
      </c>
      <c r="S17" s="153">
        <f t="shared" si="12"/>
        <v>5.0703069971179016E-2</v>
      </c>
      <c r="T17" s="57">
        <f t="shared" si="12"/>
        <v>0.43269999999999997</v>
      </c>
      <c r="U17" s="154">
        <f t="shared" si="12"/>
        <v>5.05</v>
      </c>
      <c r="V17" s="155">
        <f t="shared" si="12"/>
        <v>14.71</v>
      </c>
    </row>
    <row r="18" spans="2:22" ht="15.9" customHeight="1" x14ac:dyDescent="0.45"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O18" s="151"/>
    </row>
    <row r="19" spans="2:22" ht="15.9" customHeight="1" x14ac:dyDescent="0.45">
      <c r="B19" s="47" t="s">
        <v>144</v>
      </c>
      <c r="C19" s="47"/>
      <c r="D19" s="47"/>
      <c r="E19" s="47"/>
      <c r="F19" s="47"/>
      <c r="G19" s="47"/>
      <c r="H19" s="47"/>
      <c r="I19" s="47"/>
      <c r="J19" s="47"/>
      <c r="K19" s="47"/>
      <c r="L19" s="47"/>
      <c r="N19" s="110" t="s">
        <v>127</v>
      </c>
      <c r="O19" s="110"/>
      <c r="P19" s="110"/>
      <c r="Q19" s="139"/>
      <c r="R19" s="139"/>
      <c r="S19" s="110" t="s">
        <v>67</v>
      </c>
      <c r="T19" s="110"/>
      <c r="U19" s="110"/>
      <c r="V19" s="110"/>
    </row>
    <row r="20" spans="2:22" ht="15.9" customHeight="1" x14ac:dyDescent="0.45">
      <c r="B20" s="47"/>
      <c r="C20" s="47"/>
      <c r="D20" s="48" t="s">
        <v>32</v>
      </c>
      <c r="E20" s="48"/>
      <c r="F20" s="48"/>
      <c r="G20" s="48" t="s">
        <v>33</v>
      </c>
      <c r="H20" s="48"/>
      <c r="I20" s="48" t="s">
        <v>34</v>
      </c>
      <c r="J20" s="48"/>
      <c r="K20" s="48"/>
      <c r="L20" s="48" t="s">
        <v>35</v>
      </c>
      <c r="N20" s="110"/>
      <c r="O20" s="48" t="s">
        <v>105</v>
      </c>
      <c r="P20" s="48" t="s">
        <v>110</v>
      </c>
      <c r="Q20" s="110" t="s">
        <v>111</v>
      </c>
      <c r="R20" s="139" t="s">
        <v>106</v>
      </c>
      <c r="S20" s="48" t="s">
        <v>102</v>
      </c>
      <c r="T20" s="48" t="s">
        <v>63</v>
      </c>
      <c r="U20" s="48" t="s">
        <v>99</v>
      </c>
      <c r="V20" s="48" t="s">
        <v>99</v>
      </c>
    </row>
    <row r="21" spans="2:22" ht="15.9" customHeight="1" x14ac:dyDescent="0.45">
      <c r="B21" s="49" t="s">
        <v>36</v>
      </c>
      <c r="C21" s="49" t="s">
        <v>37</v>
      </c>
      <c r="D21" s="50" t="s">
        <v>38</v>
      </c>
      <c r="E21" s="50" t="s">
        <v>39</v>
      </c>
      <c r="F21" s="50" t="s">
        <v>40</v>
      </c>
      <c r="G21" s="50" t="s">
        <v>41</v>
      </c>
      <c r="H21" s="50" t="s">
        <v>42</v>
      </c>
      <c r="I21" s="50" t="s">
        <v>43</v>
      </c>
      <c r="J21" s="50" t="s">
        <v>44</v>
      </c>
      <c r="K21" s="50" t="s">
        <v>45</v>
      </c>
      <c r="L21" s="50" t="s">
        <v>38</v>
      </c>
      <c r="N21" s="110" t="s">
        <v>104</v>
      </c>
      <c r="O21" s="48" t="s">
        <v>120</v>
      </c>
      <c r="P21" s="48" t="s">
        <v>65</v>
      </c>
      <c r="Q21" s="110" t="s">
        <v>64</v>
      </c>
      <c r="R21" s="139" t="s">
        <v>65</v>
      </c>
      <c r="S21" s="50" t="s">
        <v>103</v>
      </c>
      <c r="T21" s="50" t="s">
        <v>64</v>
      </c>
      <c r="U21" s="50" t="s">
        <v>65</v>
      </c>
      <c r="V21" s="50" t="s">
        <v>63</v>
      </c>
    </row>
    <row r="22" spans="2:22" ht="15.9" customHeight="1" x14ac:dyDescent="0.45">
      <c r="B22" s="5" t="s">
        <v>128</v>
      </c>
      <c r="C22" s="5" t="s">
        <v>136</v>
      </c>
      <c r="D22" s="51">
        <v>0.91</v>
      </c>
      <c r="E22" s="142">
        <f>(1000849+215865)*0.01</f>
        <v>12167.14</v>
      </c>
      <c r="F22" s="52">
        <f t="shared" ref="F22" si="13">E22/($E22+$G22+$I22)</f>
        <v>9.374934024863206E-2</v>
      </c>
      <c r="G22" s="111">
        <v>0</v>
      </c>
      <c r="H22" s="52">
        <f t="shared" ref="H22" si="14">G22/($E22+$G22+$I22)</f>
        <v>0</v>
      </c>
      <c r="I22" s="111">
        <v>117616.6</v>
      </c>
      <c r="J22" s="52">
        <f t="shared" ref="J22:J29" si="15">I22/($I22+$G22+$E22)</f>
        <v>0.90625065975136798</v>
      </c>
      <c r="K22" s="114">
        <v>0.3</v>
      </c>
      <c r="L22" s="53">
        <f t="shared" ref="L22:L29" si="16">D22/(1+(E22/I22)*(1-K22)+G22/I22)</f>
        <v>0.8485534995996864</v>
      </c>
      <c r="N22" s="125">
        <v>2.57</v>
      </c>
      <c r="O22" s="149">
        <f>424.5+166.1+56.4+21.3</f>
        <v>668.3</v>
      </c>
      <c r="P22" s="111">
        <v>22268.7</v>
      </c>
      <c r="Q22" s="99">
        <v>0.67700000000000005</v>
      </c>
      <c r="R22" s="12">
        <f>4768.4/P22</f>
        <v>0.21413014679797202</v>
      </c>
      <c r="S22" s="12">
        <f>(31331/22268.7)^(1/3)-1</f>
        <v>0.12053767740739652</v>
      </c>
      <c r="T22" s="99">
        <v>0.57199999999999995</v>
      </c>
      <c r="U22" s="146">
        <v>5.48</v>
      </c>
      <c r="V22" s="146">
        <v>9.57</v>
      </c>
    </row>
    <row r="23" spans="2:22" ht="15.9" customHeight="1" x14ac:dyDescent="0.45">
      <c r="B23" s="5" t="s">
        <v>129</v>
      </c>
      <c r="C23" s="5" t="s">
        <v>137</v>
      </c>
      <c r="D23" s="51">
        <v>0.9</v>
      </c>
      <c r="E23" s="141">
        <f>(17387+2356+65810)*0.061</f>
        <v>5218.7330000000002</v>
      </c>
      <c r="F23" s="52">
        <f t="shared" ref="F23" si="17">E23/($E23+$G23+$I23)</f>
        <v>0.17545714741706234</v>
      </c>
      <c r="G23" s="112">
        <v>0</v>
      </c>
      <c r="H23" s="52">
        <f t="shared" ref="H23" si="18">G23/($E23+$G23+$I23)</f>
        <v>0</v>
      </c>
      <c r="I23" s="112">
        <v>24524.9</v>
      </c>
      <c r="J23" s="52">
        <f t="shared" si="15"/>
        <v>0.82454285258293769</v>
      </c>
      <c r="K23" s="114">
        <v>0.27</v>
      </c>
      <c r="L23" s="53">
        <f t="shared" si="16"/>
        <v>0.77899209463670138</v>
      </c>
      <c r="N23" s="150">
        <f>P23/AVERAGE(307.2,290.9)/Months</f>
        <v>3.8996265953296558</v>
      </c>
      <c r="O23" s="140">
        <v>312.7</v>
      </c>
      <c r="P23" s="265">
        <v>13994.2</v>
      </c>
      <c r="Q23" s="99">
        <v>0.68500000000000005</v>
      </c>
      <c r="R23" s="12">
        <f>1907.4/P23</f>
        <v>0.1362993240056595</v>
      </c>
      <c r="S23" s="12">
        <f>(20980.23/13994.2)^(1/3)-1</f>
        <v>0.14451298115948674</v>
      </c>
      <c r="T23" s="99">
        <v>0.46839999999999998</v>
      </c>
      <c r="U23" s="146">
        <v>2.02</v>
      </c>
      <c r="V23" s="146">
        <v>4.3099999999999996</v>
      </c>
    </row>
    <row r="24" spans="2:22" ht="15.9" customHeight="1" x14ac:dyDescent="0.45">
      <c r="B24" s="5" t="s">
        <v>130</v>
      </c>
      <c r="C24" s="5" t="s">
        <v>138</v>
      </c>
      <c r="D24" s="51">
        <v>0.57020000000000004</v>
      </c>
      <c r="E24" s="141">
        <v>5782.4</v>
      </c>
      <c r="F24" s="52">
        <f t="shared" ref="F24" si="19">E24/($E24+$G24+$I24)</f>
        <v>0.24159570823340659</v>
      </c>
      <c r="G24" s="112">
        <v>0</v>
      </c>
      <c r="H24" s="52">
        <f t="shared" ref="H24" si="20">G24/($E24+$G24+$I24)</f>
        <v>0</v>
      </c>
      <c r="I24" s="112">
        <v>18151.8</v>
      </c>
      <c r="J24" s="52">
        <f t="shared" si="15"/>
        <v>0.75840429176659352</v>
      </c>
      <c r="K24" s="114">
        <v>0.27</v>
      </c>
      <c r="L24" s="53">
        <f t="shared" si="16"/>
        <v>0.46261916442675965</v>
      </c>
      <c r="M24" s="125"/>
      <c r="N24" s="150">
        <f>P24/AVERAGE(237.3,223.2)/Months</f>
        <v>3.7447339847991317</v>
      </c>
      <c r="O24" s="140">
        <v>237.3</v>
      </c>
      <c r="P24" s="265">
        <v>10346.700000000001</v>
      </c>
      <c r="Q24" s="99">
        <v>0.55100000000000005</v>
      </c>
      <c r="R24" s="12">
        <f>1434.6/P24</f>
        <v>0.13865290382440776</v>
      </c>
      <c r="S24" s="12">
        <f>(15942.98/10346.7)^(1/3)-1</f>
        <v>0.15501922965610082</v>
      </c>
      <c r="T24" s="99">
        <v>0.4556</v>
      </c>
      <c r="U24" s="146">
        <v>1.72</v>
      </c>
      <c r="V24" s="146">
        <v>3.77</v>
      </c>
    </row>
    <row r="25" spans="2:22" ht="15.9" customHeight="1" x14ac:dyDescent="0.45">
      <c r="B25" s="5" t="s">
        <v>131</v>
      </c>
      <c r="C25" s="5" t="s">
        <v>139</v>
      </c>
      <c r="D25" s="51">
        <v>1.5</v>
      </c>
      <c r="E25" s="141">
        <f>(37070+1457480)*0.01</f>
        <v>14945.5</v>
      </c>
      <c r="F25" s="52">
        <f t="shared" ref="F25" si="21">E25/($E25+$G25+$I25)</f>
        <v>0.48298071050241886</v>
      </c>
      <c r="G25" s="112">
        <v>0</v>
      </c>
      <c r="H25" s="52">
        <f t="shared" ref="H25" si="22">G25/($E25+$G25+$I25)</f>
        <v>0</v>
      </c>
      <c r="I25" s="112">
        <v>15998.8</v>
      </c>
      <c r="J25" s="52">
        <f t="shared" si="15"/>
        <v>0.51701928949758114</v>
      </c>
      <c r="K25" s="114">
        <v>0.3</v>
      </c>
      <c r="L25" s="53">
        <f t="shared" si="16"/>
        <v>0.90693917194022067</v>
      </c>
      <c r="M25" s="125"/>
      <c r="N25" s="150">
        <f>186*0.01</f>
        <v>1.86</v>
      </c>
      <c r="O25" s="140">
        <v>200</v>
      </c>
      <c r="P25" s="265">
        <v>4727.6000000000004</v>
      </c>
      <c r="Q25" s="99">
        <v>0.44600000000000001</v>
      </c>
      <c r="R25" s="12">
        <f>1158.9/P25</f>
        <v>0.24513495219561723</v>
      </c>
      <c r="S25" s="12">
        <f>(6713.37/4727.6)^(1/3)-1</f>
        <v>0.12400079871639647</v>
      </c>
      <c r="T25" s="99">
        <v>0.44719999999999999</v>
      </c>
      <c r="U25" s="146">
        <v>6.78</v>
      </c>
      <c r="V25" s="146">
        <v>15.17</v>
      </c>
    </row>
    <row r="26" spans="2:22" ht="15.9" customHeight="1" x14ac:dyDescent="0.45">
      <c r="B26" s="5" t="s">
        <v>132</v>
      </c>
      <c r="C26" s="5" t="s">
        <v>140</v>
      </c>
      <c r="D26" s="51">
        <v>1.61</v>
      </c>
      <c r="E26" s="141">
        <f>1419+2151</f>
        <v>3570</v>
      </c>
      <c r="F26" s="52">
        <f t="shared" ref="F26" si="23">E26/($E26+$G26+$I26)</f>
        <v>0.47873196373974147</v>
      </c>
      <c r="G26" s="112">
        <v>0</v>
      </c>
      <c r="H26" s="52">
        <f t="shared" ref="H26" si="24">G26/($E26+$G26+$I26)</f>
        <v>0</v>
      </c>
      <c r="I26" s="112">
        <v>3887.2</v>
      </c>
      <c r="J26" s="52">
        <f t="shared" si="15"/>
        <v>0.52126803626025853</v>
      </c>
      <c r="K26" s="114">
        <v>0.09</v>
      </c>
      <c r="L26" s="53">
        <f t="shared" si="16"/>
        <v>0.87702910634958453</v>
      </c>
      <c r="M26" s="125"/>
      <c r="N26" s="150">
        <f>P26/190/Months</f>
        <v>2.0061403508771929</v>
      </c>
      <c r="O26" s="140">
        <v>205</v>
      </c>
      <c r="P26" s="265">
        <v>4574</v>
      </c>
      <c r="Q26" s="99">
        <v>0.88</v>
      </c>
      <c r="R26" s="12">
        <f>792/P26</f>
        <v>0.17315260166156538</v>
      </c>
      <c r="S26" s="12">
        <f>(5651.98/4399)^(1/3)-1</f>
        <v>8.713184640709204E-2</v>
      </c>
      <c r="T26" s="99">
        <v>0.4451</v>
      </c>
      <c r="U26" s="146">
        <v>1.53</v>
      </c>
      <c r="V26" s="146">
        <v>3.45</v>
      </c>
    </row>
    <row r="27" spans="2:22" ht="15.9" customHeight="1" x14ac:dyDescent="0.45">
      <c r="B27" s="5" t="s">
        <v>133</v>
      </c>
      <c r="C27" s="5" t="s">
        <v>141</v>
      </c>
      <c r="D27" s="51">
        <v>0.02</v>
      </c>
      <c r="E27" s="141">
        <f>(64.54+206.03+1623.91)*3.23</f>
        <v>6119.1704</v>
      </c>
      <c r="F27" s="52">
        <f t="shared" ref="F27" si="25">E27/($E27+$G27+$I27)</f>
        <v>0.42251672039708921</v>
      </c>
      <c r="G27" s="112">
        <v>0</v>
      </c>
      <c r="H27" s="52">
        <f t="shared" ref="H27" si="26">G27/($E27+$G27+$I27)</f>
        <v>0</v>
      </c>
      <c r="I27" s="112">
        <v>8363.5</v>
      </c>
      <c r="J27" s="52">
        <f t="shared" si="15"/>
        <v>0.57748327960291079</v>
      </c>
      <c r="K27" s="114">
        <v>0.15</v>
      </c>
      <c r="L27" s="53">
        <f t="shared" si="16"/>
        <v>1.2331185393733533E-2</v>
      </c>
      <c r="N27" s="150">
        <f>P27/AVERAGE(49,50.9)/Months</f>
        <v>12.472806139472803</v>
      </c>
      <c r="O27" s="140">
        <v>51.2</v>
      </c>
      <c r="P27" s="265">
        <v>7476.2</v>
      </c>
      <c r="Q27" s="99">
        <v>0.65</v>
      </c>
      <c r="R27" s="12">
        <f>740/P27</f>
        <v>9.8980765629597928E-2</v>
      </c>
      <c r="S27" s="12">
        <f>(9244.04/7379)^(1/3)-1</f>
        <v>7.8006638343447232E-2</v>
      </c>
      <c r="T27" s="99">
        <v>0.33800000000000002</v>
      </c>
      <c r="U27" s="146">
        <v>2.0099999999999998</v>
      </c>
      <c r="V27" s="146">
        <v>5.51</v>
      </c>
    </row>
    <row r="28" spans="2:22" ht="15.9" customHeight="1" x14ac:dyDescent="0.45">
      <c r="B28" s="5" t="s">
        <v>134</v>
      </c>
      <c r="C28" s="5" t="s">
        <v>142</v>
      </c>
      <c r="D28" s="51">
        <v>0.63</v>
      </c>
      <c r="E28" s="141">
        <f>(25540.4+83714.6)*0.0077</f>
        <v>841.26350000000002</v>
      </c>
      <c r="F28" s="52">
        <f t="shared" ref="F28" si="27">E28/($E28+$G28+$I28)</f>
        <v>8.175175977253113E-2</v>
      </c>
      <c r="G28" s="112">
        <v>0</v>
      </c>
      <c r="H28" s="52">
        <f t="shared" ref="H28" si="28">G28/($E28+$G28+$I28)</f>
        <v>0</v>
      </c>
      <c r="I28" s="112">
        <v>9449.2000000000007</v>
      </c>
      <c r="J28" s="52">
        <f t="shared" si="15"/>
        <v>0.91824824022746876</v>
      </c>
      <c r="K28" s="114">
        <v>0.3</v>
      </c>
      <c r="L28" s="53">
        <f t="shared" si="16"/>
        <v>0.59304103583228973</v>
      </c>
      <c r="N28" s="150">
        <f>P28/AVERAGE(48.2,57.9)/Months</f>
        <v>5.105246622683004</v>
      </c>
      <c r="O28" s="140">
        <f>57.9</f>
        <v>57.9</v>
      </c>
      <c r="P28" s="265">
        <v>3250</v>
      </c>
      <c r="Q28" s="99">
        <v>0.74</v>
      </c>
      <c r="R28" s="12">
        <f>618.7/P28</f>
        <v>0.19036923076923079</v>
      </c>
      <c r="S28" s="12">
        <f>(4315.25/3250)^(1/3)-1</f>
        <v>9.9109259833723318E-2</v>
      </c>
      <c r="T28" s="99">
        <v>0.53649999999999998</v>
      </c>
      <c r="U28" s="146">
        <v>2.94</v>
      </c>
      <c r="V28" s="146">
        <v>5.48</v>
      </c>
    </row>
    <row r="29" spans="2:22" ht="15.9" customHeight="1" x14ac:dyDescent="0.45">
      <c r="B29" s="5" t="s">
        <v>135</v>
      </c>
      <c r="C29" s="5" t="s">
        <v>143</v>
      </c>
      <c r="D29" s="51">
        <v>0.81</v>
      </c>
      <c r="E29" s="141">
        <f>(1096126+20021386)*0.000056</f>
        <v>1182.580672</v>
      </c>
      <c r="F29" s="52">
        <f t="shared" ref="F29" si="29">E29/($E29+$G29+$I29)</f>
        <v>0.29019097978289587</v>
      </c>
      <c r="G29" s="112">
        <v>0</v>
      </c>
      <c r="H29" s="52">
        <f t="shared" ref="H29" si="30">G29/($E29+$G29+$I29)</f>
        <v>0</v>
      </c>
      <c r="I29" s="112">
        <v>2892.6</v>
      </c>
      <c r="J29" s="52">
        <f t="shared" si="15"/>
        <v>0.70980902021710413</v>
      </c>
      <c r="K29" s="114">
        <v>0.22</v>
      </c>
      <c r="L29" s="53">
        <f t="shared" si="16"/>
        <v>0.61415414484235065</v>
      </c>
      <c r="N29" s="143">
        <v>2.23</v>
      </c>
      <c r="O29" s="140">
        <v>73</v>
      </c>
      <c r="P29" s="265">
        <v>2564.5</v>
      </c>
      <c r="Q29" s="99">
        <v>0.54900000000000004</v>
      </c>
      <c r="R29" s="12">
        <f>553.8/P29</f>
        <v>0.21594852797816336</v>
      </c>
      <c r="S29" s="12">
        <f>(2869.55/2383.8)^(1/3)-1</f>
        <v>6.377062534447564E-2</v>
      </c>
      <c r="T29" s="99">
        <v>0.45569999999999999</v>
      </c>
      <c r="U29" s="146">
        <v>2.36</v>
      </c>
      <c r="V29" s="146">
        <v>5.17</v>
      </c>
    </row>
    <row r="30" spans="2:22" ht="15.9" customHeight="1" x14ac:dyDescent="0.45"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</row>
    <row r="31" spans="2:22" ht="15.9" customHeight="1" x14ac:dyDescent="0.45">
      <c r="B31" s="54" t="s">
        <v>46</v>
      </c>
      <c r="C31" s="55"/>
      <c r="D31" s="56">
        <f t="shared" ref="D31:L31" si="31">MEDIAN(D22:D29)</f>
        <v>0.85499999999999998</v>
      </c>
      <c r="E31" s="113">
        <f t="shared" si="31"/>
        <v>5500.5664999999999</v>
      </c>
      <c r="F31" s="57">
        <f t="shared" si="31"/>
        <v>0.26589334400815123</v>
      </c>
      <c r="G31" s="113">
        <f t="shared" si="31"/>
        <v>0</v>
      </c>
      <c r="H31" s="57">
        <f t="shared" si="31"/>
        <v>0</v>
      </c>
      <c r="I31" s="113">
        <f t="shared" si="31"/>
        <v>12724</v>
      </c>
      <c r="J31" s="57">
        <f t="shared" si="31"/>
        <v>0.73410665599184877</v>
      </c>
      <c r="K31" s="57">
        <f t="shared" si="31"/>
        <v>0.27</v>
      </c>
      <c r="L31" s="58">
        <f t="shared" si="31"/>
        <v>0.69657311973952596</v>
      </c>
      <c r="N31" s="147">
        <f>MEDIAN(N22:N29)</f>
        <v>3.1573669923995658</v>
      </c>
      <c r="O31" s="148">
        <f t="shared" ref="O31:V31" si="32">MEDIAN(O22:O29)</f>
        <v>202.5</v>
      </c>
      <c r="P31" s="113">
        <f t="shared" si="32"/>
        <v>6101.9</v>
      </c>
      <c r="Q31" s="57">
        <f t="shared" si="32"/>
        <v>0.66349999999999998</v>
      </c>
      <c r="R31" s="152">
        <f t="shared" si="32"/>
        <v>0.18176091621539808</v>
      </c>
      <c r="S31" s="153">
        <f t="shared" si="32"/>
        <v>0.10982346862055992</v>
      </c>
      <c r="T31" s="57">
        <f t="shared" si="32"/>
        <v>0.45565</v>
      </c>
      <c r="U31" s="154">
        <f t="shared" si="32"/>
        <v>2.19</v>
      </c>
      <c r="V31" s="155">
        <f t="shared" si="32"/>
        <v>5.3250000000000002</v>
      </c>
    </row>
    <row r="32" spans="2:22" ht="15.9" customHeight="1" x14ac:dyDescent="0.45"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</row>
    <row r="33" spans="2:22" ht="15.9" customHeight="1" x14ac:dyDescent="0.45">
      <c r="B33" s="47" t="s">
        <v>147</v>
      </c>
      <c r="C33" s="47"/>
      <c r="D33" s="47"/>
      <c r="E33" s="47"/>
      <c r="F33" s="47"/>
      <c r="G33" s="47"/>
      <c r="H33" s="47"/>
      <c r="I33" s="47"/>
      <c r="J33" s="47"/>
      <c r="K33" s="47"/>
      <c r="L33" s="47"/>
      <c r="N33" s="110" t="s">
        <v>127</v>
      </c>
      <c r="O33" s="110"/>
      <c r="P33" s="110"/>
      <c r="Q33" s="139"/>
      <c r="R33" s="139"/>
      <c r="S33" s="110" t="s">
        <v>67</v>
      </c>
      <c r="T33" s="110"/>
      <c r="U33" s="110"/>
      <c r="V33" s="110"/>
    </row>
    <row r="34" spans="2:22" ht="15.9" customHeight="1" x14ac:dyDescent="0.45">
      <c r="B34" s="47"/>
      <c r="C34" s="47"/>
      <c r="D34" s="48" t="s">
        <v>32</v>
      </c>
      <c r="E34" s="48"/>
      <c r="F34" s="48"/>
      <c r="G34" s="48" t="s">
        <v>33</v>
      </c>
      <c r="H34" s="48"/>
      <c r="I34" s="48" t="s">
        <v>34</v>
      </c>
      <c r="J34" s="48"/>
      <c r="K34" s="48"/>
      <c r="L34" s="48" t="s">
        <v>35</v>
      </c>
      <c r="N34" s="110"/>
      <c r="O34" s="48" t="s">
        <v>105</v>
      </c>
      <c r="P34" s="48" t="s">
        <v>110</v>
      </c>
      <c r="Q34" s="110" t="s">
        <v>111</v>
      </c>
      <c r="R34" s="139" t="s">
        <v>106</v>
      </c>
      <c r="S34" s="48" t="s">
        <v>102</v>
      </c>
      <c r="T34" s="48" t="s">
        <v>63</v>
      </c>
      <c r="U34" s="48" t="s">
        <v>99</v>
      </c>
      <c r="V34" s="48" t="s">
        <v>99</v>
      </c>
    </row>
    <row r="35" spans="2:22" ht="15.9" customHeight="1" x14ac:dyDescent="0.45">
      <c r="B35" s="49" t="s">
        <v>36</v>
      </c>
      <c r="C35" s="49" t="s">
        <v>37</v>
      </c>
      <c r="D35" s="50" t="s">
        <v>38</v>
      </c>
      <c r="E35" s="50" t="s">
        <v>39</v>
      </c>
      <c r="F35" s="50" t="s">
        <v>40</v>
      </c>
      <c r="G35" s="50" t="s">
        <v>41</v>
      </c>
      <c r="H35" s="50" t="s">
        <v>42</v>
      </c>
      <c r="I35" s="50" t="s">
        <v>43</v>
      </c>
      <c r="J35" s="50" t="s">
        <v>44</v>
      </c>
      <c r="K35" s="50" t="s">
        <v>45</v>
      </c>
      <c r="L35" s="50" t="s">
        <v>38</v>
      </c>
      <c r="N35" s="110" t="s">
        <v>104</v>
      </c>
      <c r="O35" s="48" t="s">
        <v>120</v>
      </c>
      <c r="P35" s="48" t="s">
        <v>65</v>
      </c>
      <c r="Q35" s="110" t="s">
        <v>64</v>
      </c>
      <c r="R35" s="139" t="s">
        <v>65</v>
      </c>
      <c r="S35" s="50" t="s">
        <v>103</v>
      </c>
      <c r="T35" s="50" t="s">
        <v>64</v>
      </c>
      <c r="U35" s="50" t="s">
        <v>65</v>
      </c>
      <c r="V35" s="50" t="s">
        <v>63</v>
      </c>
    </row>
    <row r="36" spans="2:22" ht="15.9" customHeight="1" x14ac:dyDescent="0.45">
      <c r="B36" s="5" t="s">
        <v>156</v>
      </c>
      <c r="C36" s="5" t="s">
        <v>162</v>
      </c>
      <c r="D36" s="51">
        <v>0.28000000000000003</v>
      </c>
      <c r="E36" s="142">
        <f>(105314.35+422193.56)*0.058</f>
        <v>30595.458780000004</v>
      </c>
      <c r="F36" s="52">
        <f t="shared" ref="F36" si="33">E36/($E36+$G36+$I36)</f>
        <v>0.28659144176179824</v>
      </c>
      <c r="G36" s="111">
        <v>0</v>
      </c>
      <c r="H36" s="52">
        <f t="shared" ref="H36" si="34">G36/($E36+$G36+$I36)</f>
        <v>0</v>
      </c>
      <c r="I36" s="111">
        <v>76160.899999999994</v>
      </c>
      <c r="J36" s="52">
        <f t="shared" ref="J36:J41" si="35">I36/($I36+$G36+$E36)</f>
        <v>0.71340855823820182</v>
      </c>
      <c r="K36" s="114">
        <v>0.3</v>
      </c>
      <c r="L36" s="53">
        <f t="shared" ref="L36:L43" si="36">D36/(1+(E36/I36)*(1-K36)+G36/I36)</f>
        <v>0.21854427167952137</v>
      </c>
      <c r="N36" s="150">
        <f>P36/AVERAGE(334.496,324.202)/Months</f>
        <v>13.834058501265629</v>
      </c>
      <c r="O36" s="140">
        <v>334.49599999999998</v>
      </c>
      <c r="P36" s="111">
        <v>54674.8</v>
      </c>
      <c r="Q36" s="99">
        <v>0.434</v>
      </c>
      <c r="R36" s="12">
        <f>6636.6/P36</f>
        <v>0.12138316006642914</v>
      </c>
      <c r="S36" s="12">
        <f>(60982.27/54397.8)^(1/3)-1</f>
        <v>3.8821071198280377E-2</v>
      </c>
      <c r="T36" s="99">
        <v>0.39729999999999999</v>
      </c>
      <c r="U36" s="146">
        <v>2.11</v>
      </c>
      <c r="V36" s="146">
        <v>5.31</v>
      </c>
    </row>
    <row r="37" spans="2:22" ht="15.9" customHeight="1" x14ac:dyDescent="0.45">
      <c r="B37" s="5" t="s">
        <v>157</v>
      </c>
      <c r="C37" s="5" t="s">
        <v>163</v>
      </c>
      <c r="D37" s="51">
        <v>0.23</v>
      </c>
      <c r="E37" s="141">
        <f>9474*0.15</f>
        <v>1421.1</v>
      </c>
      <c r="F37" s="52">
        <f t="shared" ref="F37" si="37">E37/($E37+$G37+$I37)</f>
        <v>5.9149875069769873E-3</v>
      </c>
      <c r="G37" s="112">
        <v>0</v>
      </c>
      <c r="H37" s="52">
        <f t="shared" ref="H37" si="38">G37/($E37+$G37+$I37)</f>
        <v>0</v>
      </c>
      <c r="I37" s="112">
        <v>238833</v>
      </c>
      <c r="J37" s="52">
        <f t="shared" si="35"/>
        <v>0.99408501249302295</v>
      </c>
      <c r="K37" s="114">
        <v>0.25</v>
      </c>
      <c r="L37" s="53">
        <f t="shared" si="36"/>
        <v>0.22897815360287824</v>
      </c>
      <c r="M37" s="125"/>
      <c r="N37" s="150">
        <f>P37/AVERAGE(1004,1005)/Months</f>
        <v>12.902555168408826</v>
      </c>
      <c r="O37" s="140">
        <v>1005</v>
      </c>
      <c r="P37" s="265">
        <v>155527.4</v>
      </c>
      <c r="Q37" s="99">
        <v>0.28399999999999997</v>
      </c>
      <c r="R37" s="12">
        <f>22299.9/P37</f>
        <v>0.14338245222385254</v>
      </c>
      <c r="S37" s="12">
        <f>(159606.77/155125.9)^(1/3)-1</f>
        <v>9.5372112156792976E-3</v>
      </c>
      <c r="T37" s="99">
        <v>0.3226</v>
      </c>
      <c r="U37" s="146">
        <v>1.31</v>
      </c>
      <c r="V37" s="146">
        <v>4.05</v>
      </c>
    </row>
    <row r="38" spans="2:22" ht="15.9" customHeight="1" x14ac:dyDescent="0.45">
      <c r="B38" s="5" t="s">
        <v>158</v>
      </c>
      <c r="C38" s="5" t="s">
        <v>164</v>
      </c>
      <c r="D38" s="51">
        <v>0.32</v>
      </c>
      <c r="E38" s="141">
        <f>363+2238+83809</f>
        <v>86410</v>
      </c>
      <c r="F38" s="52">
        <f t="shared" ref="F38" si="39">E38/($E38+$G38+$I38)</f>
        <v>0.29862878206388738</v>
      </c>
      <c r="G38" s="112">
        <v>0</v>
      </c>
      <c r="H38" s="52">
        <f t="shared" ref="H38" si="40">G38/($E38+$G38+$I38)</f>
        <v>0</v>
      </c>
      <c r="I38" s="112">
        <v>202945.9</v>
      </c>
      <c r="J38" s="52">
        <f t="shared" si="35"/>
        <v>0.70137121793611246</v>
      </c>
      <c r="K38" s="114">
        <v>0.25</v>
      </c>
      <c r="L38" s="53">
        <f t="shared" si="36"/>
        <v>0.24254664179801264</v>
      </c>
      <c r="M38" s="125"/>
      <c r="N38" s="150">
        <f>P38/AVERAGE(129.5,142.4)/Months</f>
        <v>55.492215275223742</v>
      </c>
      <c r="O38" s="140">
        <v>142.4</v>
      </c>
      <c r="P38" s="265">
        <v>90530</v>
      </c>
      <c r="Q38" s="99">
        <v>0.63300000000000001</v>
      </c>
      <c r="R38" s="12">
        <f>10127/P38</f>
        <v>0.11186347067270518</v>
      </c>
      <c r="S38" s="12">
        <f>(102998.89/88309)^(1/3)-1</f>
        <v>5.2630280926829975E-2</v>
      </c>
      <c r="T38" s="99">
        <v>0.39410000000000001</v>
      </c>
      <c r="U38" s="146">
        <v>3.4</v>
      </c>
      <c r="V38" s="146">
        <v>8.6199999999999992</v>
      </c>
    </row>
    <row r="39" spans="2:22" ht="15.9" customHeight="1" x14ac:dyDescent="0.45">
      <c r="B39" s="5" t="s">
        <v>159</v>
      </c>
      <c r="C39" s="5" t="s">
        <v>165</v>
      </c>
      <c r="D39" s="51">
        <v>0.64</v>
      </c>
      <c r="E39" s="141">
        <f>(1019.7+12374.74+4708.03)*0.15</f>
        <v>2715.3705</v>
      </c>
      <c r="F39" s="52">
        <f t="shared" ref="F39" si="41">E39/($E39+$G39+$I39)</f>
        <v>0.11907237255244559</v>
      </c>
      <c r="G39" s="112">
        <v>0</v>
      </c>
      <c r="H39" s="52">
        <f t="shared" ref="H39" si="42">G39/($E39+$G39+$I39)</f>
        <v>0</v>
      </c>
      <c r="I39" s="112">
        <v>20089</v>
      </c>
      <c r="J39" s="52">
        <f t="shared" si="35"/>
        <v>0.88092762744755437</v>
      </c>
      <c r="K39" s="114">
        <v>0.25</v>
      </c>
      <c r="L39" s="53">
        <f t="shared" si="36"/>
        <v>0.58109167259811656</v>
      </c>
      <c r="M39" s="125"/>
      <c r="N39" s="150">
        <f>P39/AVERAGE(470,486)/Months</f>
        <v>10.086837517433752</v>
      </c>
      <c r="O39" s="140">
        <f>357+129</f>
        <v>486</v>
      </c>
      <c r="P39" s="265">
        <v>57858.1</v>
      </c>
      <c r="Q39" s="99">
        <v>0.23100000000000001</v>
      </c>
      <c r="R39" s="12">
        <f>9821.2/P39</f>
        <v>0.16974632765334502</v>
      </c>
      <c r="S39" s="12">
        <f>(59553.75/57936.3)^(1/3)-1</f>
        <v>9.2206288034843986E-3</v>
      </c>
      <c r="T39" s="99">
        <v>0.23780000000000001</v>
      </c>
      <c r="U39" s="146">
        <v>0.87</v>
      </c>
      <c r="V39" s="146">
        <v>3.64</v>
      </c>
    </row>
    <row r="40" spans="2:22" ht="15.9" customHeight="1" x14ac:dyDescent="0.45">
      <c r="B40" s="5" t="s">
        <v>160</v>
      </c>
      <c r="C40" s="5" t="s">
        <v>166</v>
      </c>
      <c r="D40" s="51">
        <v>1.05</v>
      </c>
      <c r="E40" s="112">
        <v>96822</v>
      </c>
      <c r="F40" s="52">
        <f t="shared" ref="F40" si="43">E40/($E40+$G40+$I40)</f>
        <v>0.84532717991162754</v>
      </c>
      <c r="G40" s="112">
        <v>0</v>
      </c>
      <c r="H40" s="52">
        <f t="shared" ref="H40" si="44">G40/($E40+$G40+$I40)</f>
        <v>0</v>
      </c>
      <c r="I40" s="112">
        <v>17715.900000000001</v>
      </c>
      <c r="J40" s="52">
        <f t="shared" si="35"/>
        <v>0.15467282008837252</v>
      </c>
      <c r="K40" s="114">
        <v>0.25</v>
      </c>
      <c r="L40" s="53">
        <f t="shared" si="36"/>
        <v>0.20592495051609391</v>
      </c>
      <c r="M40" s="125"/>
      <c r="N40" s="150">
        <f>P40/AVERAGE(9.9+32.2,11.8+31.8)/Months</f>
        <v>106.25437572928821</v>
      </c>
      <c r="O40" s="149">
        <f>29.6+12.1</f>
        <v>41.7</v>
      </c>
      <c r="P40" s="265">
        <v>54636</v>
      </c>
      <c r="Q40" s="99">
        <v>0.55300000000000005</v>
      </c>
      <c r="R40" s="12">
        <f>12115/P40</f>
        <v>0.22174024452741781</v>
      </c>
      <c r="S40" s="12">
        <f>(54141.08/54774)^(1/3)-1</f>
        <v>-3.8666374121477665E-3</v>
      </c>
      <c r="T40" s="99">
        <v>0.4133</v>
      </c>
      <c r="U40" s="146">
        <v>2.19</v>
      </c>
      <c r="V40" s="146">
        <v>5.29</v>
      </c>
    </row>
    <row r="41" spans="2:22" ht="15.9" customHeight="1" x14ac:dyDescent="0.45">
      <c r="B41" s="5" t="s">
        <v>168</v>
      </c>
      <c r="C41" s="5" t="s">
        <v>169</v>
      </c>
      <c r="D41" s="51">
        <v>0.71</v>
      </c>
      <c r="E41" s="141">
        <f>(698819+1093736+3878394)*0.0063</f>
        <v>35726.9787</v>
      </c>
      <c r="F41" s="52">
        <f t="shared" ref="F41" si="45">E41/($E41+$G41+$I41)</f>
        <v>0.35564775334994236</v>
      </c>
      <c r="G41" s="112">
        <v>0</v>
      </c>
      <c r="H41" s="52">
        <f t="shared" ref="H41" si="46">G41/($E41+$G41+$I41)</f>
        <v>0</v>
      </c>
      <c r="I41" s="112">
        <v>64729.1</v>
      </c>
      <c r="J41" s="52">
        <f t="shared" si="35"/>
        <v>0.64435224665005764</v>
      </c>
      <c r="K41" s="114">
        <v>0.31519999999999998</v>
      </c>
      <c r="L41" s="53">
        <f t="shared" si="36"/>
        <v>0.51524967188899418</v>
      </c>
      <c r="M41" s="125"/>
      <c r="N41" s="150">
        <f>3700*0.0063</f>
        <v>23.31</v>
      </c>
      <c r="O41" s="140">
        <v>41.317</v>
      </c>
      <c r="P41" s="265">
        <v>44218.9</v>
      </c>
      <c r="Q41" s="99">
        <v>0.48099999999999998</v>
      </c>
      <c r="R41" s="12">
        <f>3583.8/P41</f>
        <v>8.1046792208761417E-2</v>
      </c>
      <c r="S41" s="12">
        <f>(51787.17/44218.9)^(1/3)-1</f>
        <v>5.4074761231868829E-2</v>
      </c>
      <c r="T41" s="99">
        <v>0.25950000000000001</v>
      </c>
      <c r="U41" s="146">
        <v>2.27</v>
      </c>
      <c r="V41" s="146">
        <v>8.74</v>
      </c>
    </row>
    <row r="42" spans="2:22" ht="15.9" customHeight="1" x14ac:dyDescent="0.45">
      <c r="B42" s="5" t="s">
        <v>145</v>
      </c>
      <c r="C42" s="5" t="s">
        <v>146</v>
      </c>
      <c r="D42" s="51">
        <v>0.68</v>
      </c>
      <c r="E42" s="141">
        <f>(1644+2778+37638)*1.16</f>
        <v>48789.599999999999</v>
      </c>
      <c r="F42" s="52">
        <f>E42/($E42+$G42+$I42)</f>
        <v>0.58534548743998338</v>
      </c>
      <c r="G42" s="112">
        <v>0</v>
      </c>
      <c r="H42" s="52">
        <f>G42/($E42+$G42+$I42)</f>
        <v>0</v>
      </c>
      <c r="I42" s="112">
        <v>34562.199999999997</v>
      </c>
      <c r="J42" s="52">
        <f>I42/($I42+$G42+$E42)</f>
        <v>0.41465451256001673</v>
      </c>
      <c r="K42" s="114">
        <v>0.25</v>
      </c>
      <c r="L42" s="53">
        <f t="shared" si="36"/>
        <v>0.3302999673948484</v>
      </c>
      <c r="M42" s="125"/>
      <c r="N42" s="150">
        <f>P42/O42/Months</f>
        <v>13.259399551066217</v>
      </c>
      <c r="O42" s="149">
        <f>279+18</f>
        <v>297</v>
      </c>
      <c r="P42" s="265">
        <v>47256.5</v>
      </c>
      <c r="Q42" s="99">
        <v>0.315</v>
      </c>
      <c r="R42" s="12">
        <f>5689.1/P42</f>
        <v>0.12038767153724886</v>
      </c>
      <c r="S42" s="12">
        <f>(55243.82/47256.5)^(1/3)-1</f>
        <v>5.3434125136933908E-2</v>
      </c>
      <c r="T42" s="99">
        <v>0.29220000000000002</v>
      </c>
      <c r="U42" s="146">
        <v>1.65</v>
      </c>
      <c r="V42" s="146">
        <v>5.64</v>
      </c>
    </row>
    <row r="43" spans="2:22" ht="15.9" customHeight="1" x14ac:dyDescent="0.45">
      <c r="B43" s="5" t="s">
        <v>161</v>
      </c>
      <c r="C43" s="5" t="s">
        <v>167</v>
      </c>
      <c r="D43" s="51">
        <v>0.27</v>
      </c>
      <c r="E43" s="141">
        <f>(2718+2279998+2588058)*0.0063</f>
        <v>30685.876199999999</v>
      </c>
      <c r="F43" s="52">
        <f>E43/($E43+$G43+$I43)</f>
        <v>0.31903679129113005</v>
      </c>
      <c r="G43" s="112">
        <v>0</v>
      </c>
      <c r="H43" s="52">
        <f>G43/($E43+$G43+$I43)</f>
        <v>0</v>
      </c>
      <c r="I43" s="112">
        <v>65497</v>
      </c>
      <c r="J43" s="52">
        <f>I43/($I43+$G43+$E43)</f>
        <v>0.68096320870886995</v>
      </c>
      <c r="K43" s="114">
        <v>0.31519999999999998</v>
      </c>
      <c r="L43" s="53">
        <f t="shared" si="36"/>
        <v>0.20441624502572334</v>
      </c>
      <c r="M43" s="125"/>
      <c r="N43" s="150">
        <f>4550*0.0063</f>
        <v>28.664999999999999</v>
      </c>
      <c r="O43" s="140">
        <v>33</v>
      </c>
      <c r="P43" s="265">
        <v>38145.4</v>
      </c>
      <c r="Q43" s="99">
        <v>0.42699999999999999</v>
      </c>
      <c r="R43" s="12">
        <f>2543.2/P43</f>
        <v>6.6671210683332718E-2</v>
      </c>
      <c r="S43" s="12">
        <f>(43160.57/38145.4)^(1/3)-1</f>
        <v>4.2033463739549193E-2</v>
      </c>
      <c r="T43" s="99">
        <v>0.2974</v>
      </c>
      <c r="U43" s="146">
        <v>2.38</v>
      </c>
      <c r="V43" s="146">
        <v>8.01</v>
      </c>
    </row>
    <row r="44" spans="2:22" ht="15.9" customHeight="1" x14ac:dyDescent="0.45"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</row>
    <row r="45" spans="2:22" ht="15.9" customHeight="1" x14ac:dyDescent="0.45">
      <c r="B45" s="54" t="s">
        <v>46</v>
      </c>
      <c r="C45" s="55"/>
      <c r="D45" s="56">
        <f t="shared" ref="D45:L45" si="47">MEDIAN(D36:D43)</f>
        <v>0.48</v>
      </c>
      <c r="E45" s="113">
        <f t="shared" si="47"/>
        <v>33206.427450000003</v>
      </c>
      <c r="F45" s="57">
        <f t="shared" si="47"/>
        <v>0.30883278667750869</v>
      </c>
      <c r="G45" s="113">
        <f t="shared" si="47"/>
        <v>0</v>
      </c>
      <c r="H45" s="57">
        <f t="shared" si="47"/>
        <v>0</v>
      </c>
      <c r="I45" s="113">
        <f t="shared" si="47"/>
        <v>65113.05</v>
      </c>
      <c r="J45" s="57">
        <f t="shared" si="47"/>
        <v>0.6911672133224912</v>
      </c>
      <c r="K45" s="57">
        <f t="shared" si="47"/>
        <v>0.25</v>
      </c>
      <c r="L45" s="58">
        <f t="shared" si="47"/>
        <v>0.23576239770044544</v>
      </c>
      <c r="N45" s="147">
        <f t="shared" ref="N45:V45" si="48">MEDIAN(N36:N43)</f>
        <v>18.572029250632813</v>
      </c>
      <c r="O45" s="148">
        <f t="shared" si="48"/>
        <v>219.7</v>
      </c>
      <c r="P45" s="113">
        <f t="shared" si="48"/>
        <v>54655.4</v>
      </c>
      <c r="Q45" s="57">
        <f t="shared" si="48"/>
        <v>0.43049999999999999</v>
      </c>
      <c r="R45" s="152">
        <f t="shared" si="48"/>
        <v>0.12088541580183901</v>
      </c>
      <c r="S45" s="153">
        <f t="shared" si="48"/>
        <v>4.0427267468914785E-2</v>
      </c>
      <c r="T45" s="57">
        <f t="shared" si="48"/>
        <v>0.31</v>
      </c>
      <c r="U45" s="154">
        <f t="shared" si="48"/>
        <v>2.15</v>
      </c>
      <c r="V45" s="155">
        <f t="shared" si="48"/>
        <v>5.4749999999999996</v>
      </c>
    </row>
    <row r="46" spans="2:22" ht="15.9" customHeight="1" x14ac:dyDescent="0.45"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</row>
  </sheetData>
  <sortState xmlns:xlrd2="http://schemas.microsoft.com/office/spreadsheetml/2017/richdata2" ref="B8:V15">
    <sortCondition descending="1" ref="I8:I15"/>
  </sortState>
  <pageMargins left="0.7" right="0.7" top="0.75" bottom="0.75" header="0.3" footer="0.3"/>
  <pageSetup scale="30" orientation="portrait" horizontalDpi="1200" verticalDpi="120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02224C-52EE-41BD-9946-0AAD76E87090}">
  <sheetPr>
    <pageSetUpPr autoPageBreaks="0"/>
  </sheetPr>
  <dimension ref="B2:W33"/>
  <sheetViews>
    <sheetView showGridLines="0" zoomScaleNormal="100" workbookViewId="0">
      <pane xSplit="3" topLeftCell="D1" activePane="topRight" state="frozen"/>
      <selection pane="topRight" activeCell="B2" sqref="B2"/>
    </sheetView>
  </sheetViews>
  <sheetFormatPr defaultColWidth="9.15234375" defaultRowHeight="15.9" customHeight="1" x14ac:dyDescent="0.4"/>
  <cols>
    <col min="1" max="1" width="2.53515625" customWidth="1"/>
    <col min="2" max="2" width="24.69140625" bestFit="1" customWidth="1"/>
    <col min="3" max="3" width="15.765625" bestFit="1" customWidth="1"/>
    <col min="4" max="12" width="12.69140625" customWidth="1"/>
    <col min="13" max="13" width="2.53515625" customWidth="1"/>
    <col min="14" max="23" width="12.69140625" customWidth="1"/>
    <col min="24" max="24" width="2.69140625" customWidth="1"/>
  </cols>
  <sheetData>
    <row r="2" spans="2:23" ht="15.9" customHeight="1" x14ac:dyDescent="0.5">
      <c r="B2" s="39" t="str">
        <f>"Comparable Public Companies by Maturity and Industry - "&amp;Div_2</f>
        <v>Comparable Public Companies by Maturity and Industry - AI</v>
      </c>
      <c r="C2" s="40"/>
    </row>
    <row r="3" spans="2:23" ht="15.9" customHeight="1" x14ac:dyDescent="0.45">
      <c r="B3" s="5" t="str">
        <f>AI!$B$3</f>
        <v>($ in Millions USD Except Per Share Data)</v>
      </c>
      <c r="C3" s="6"/>
      <c r="D3" s="6"/>
      <c r="E3" s="6"/>
      <c r="F3" s="6"/>
      <c r="G3" s="6"/>
      <c r="H3" s="6"/>
      <c r="I3" s="6"/>
      <c r="J3" s="6"/>
      <c r="K3" s="6"/>
      <c r="L3" s="6"/>
    </row>
    <row r="4" spans="2:23" ht="15.9" customHeight="1" x14ac:dyDescent="0.45">
      <c r="B4" s="6"/>
      <c r="C4" s="6"/>
      <c r="D4" s="6"/>
      <c r="E4" s="6"/>
      <c r="F4" s="6"/>
      <c r="G4" s="6"/>
      <c r="H4" s="6"/>
      <c r="I4" s="6"/>
      <c r="J4" s="6"/>
      <c r="K4" s="6"/>
      <c r="L4" s="6"/>
      <c r="T4" s="41"/>
    </row>
    <row r="5" spans="2:23" ht="15.9" customHeight="1" x14ac:dyDescent="0.45">
      <c r="B5" s="47" t="s">
        <v>275</v>
      </c>
      <c r="C5" s="47"/>
      <c r="D5" s="47"/>
      <c r="E5" s="47"/>
      <c r="F5" s="47"/>
      <c r="G5" s="47"/>
      <c r="H5" s="47"/>
      <c r="I5" s="47"/>
      <c r="J5" s="47"/>
      <c r="K5" s="47"/>
      <c r="L5" s="47"/>
      <c r="N5" s="48" t="s">
        <v>258</v>
      </c>
      <c r="O5" s="110"/>
      <c r="P5" s="110"/>
      <c r="Q5" s="110"/>
      <c r="R5" s="110"/>
      <c r="S5" s="139"/>
      <c r="T5" s="110" t="s">
        <v>67</v>
      </c>
      <c r="U5" s="110"/>
      <c r="V5" s="110"/>
      <c r="W5" s="110"/>
    </row>
    <row r="6" spans="2:23" ht="15.9" customHeight="1" x14ac:dyDescent="0.45">
      <c r="B6" s="47"/>
      <c r="C6" s="47"/>
      <c r="D6" s="48" t="s">
        <v>32</v>
      </c>
      <c r="E6" s="48"/>
      <c r="F6" s="48"/>
      <c r="G6" s="48" t="s">
        <v>33</v>
      </c>
      <c r="H6" s="48"/>
      <c r="I6" s="48" t="s">
        <v>34</v>
      </c>
      <c r="J6" s="48"/>
      <c r="K6" s="48"/>
      <c r="L6" s="48" t="s">
        <v>35</v>
      </c>
      <c r="N6" s="110" t="s">
        <v>257</v>
      </c>
      <c r="O6" s="48" t="s">
        <v>256</v>
      </c>
      <c r="P6" s="48" t="s">
        <v>110</v>
      </c>
      <c r="Q6" s="48" t="s">
        <v>261</v>
      </c>
      <c r="R6" s="110" t="s">
        <v>111</v>
      </c>
      <c r="S6" s="139" t="s">
        <v>106</v>
      </c>
      <c r="T6" s="48" t="s">
        <v>102</v>
      </c>
      <c r="U6" s="48" t="s">
        <v>63</v>
      </c>
      <c r="V6" s="48" t="s">
        <v>99</v>
      </c>
      <c r="W6" s="48" t="s">
        <v>99</v>
      </c>
    </row>
    <row r="7" spans="2:23" ht="15.9" customHeight="1" x14ac:dyDescent="0.45">
      <c r="B7" s="49" t="s">
        <v>36</v>
      </c>
      <c r="C7" s="49" t="s">
        <v>37</v>
      </c>
      <c r="D7" s="50" t="s">
        <v>38</v>
      </c>
      <c r="E7" s="50" t="s">
        <v>39</v>
      </c>
      <c r="F7" s="50" t="s">
        <v>40</v>
      </c>
      <c r="G7" s="50" t="s">
        <v>41</v>
      </c>
      <c r="H7" s="50" t="s">
        <v>42</v>
      </c>
      <c r="I7" s="50" t="s">
        <v>43</v>
      </c>
      <c r="J7" s="50" t="s">
        <v>44</v>
      </c>
      <c r="K7" s="50" t="s">
        <v>45</v>
      </c>
      <c r="L7" s="50" t="s">
        <v>38</v>
      </c>
      <c r="N7" s="110" t="s">
        <v>259</v>
      </c>
      <c r="O7" s="48" t="s">
        <v>260</v>
      </c>
      <c r="P7" s="48" t="s">
        <v>65</v>
      </c>
      <c r="Q7" s="48" t="s">
        <v>262</v>
      </c>
      <c r="R7" s="110" t="s">
        <v>64</v>
      </c>
      <c r="S7" s="139" t="s">
        <v>65</v>
      </c>
      <c r="T7" s="50" t="s">
        <v>103</v>
      </c>
      <c r="U7" s="50" t="s">
        <v>64</v>
      </c>
      <c r="V7" s="50" t="s">
        <v>65</v>
      </c>
      <c r="W7" s="50" t="s">
        <v>63</v>
      </c>
    </row>
    <row r="8" spans="2:23" ht="15.9" customHeight="1" x14ac:dyDescent="0.45">
      <c r="B8" s="5" t="s">
        <v>254</v>
      </c>
      <c r="C8" s="5" t="s">
        <v>255</v>
      </c>
      <c r="D8" s="51">
        <v>1.64</v>
      </c>
      <c r="E8" s="142">
        <f>7547+17312</f>
        <v>24859</v>
      </c>
      <c r="F8" s="52">
        <f t="shared" ref="F8:F9" si="0">E8/($E8+$G8+$I8)</f>
        <v>0.29378847560665744</v>
      </c>
      <c r="G8" s="111">
        <v>0</v>
      </c>
      <c r="H8" s="52">
        <f t="shared" ref="H8:H9" si="1">G8/($E8+$G8+$I8)</f>
        <v>0</v>
      </c>
      <c r="I8" s="111">
        <v>59756.3</v>
      </c>
      <c r="J8" s="52">
        <f t="shared" ref="J8:J9" si="2">I8/($I8+$G8+$E8)</f>
        <v>0.70621152439334256</v>
      </c>
      <c r="K8" s="114">
        <v>0.25</v>
      </c>
      <c r="L8" s="53">
        <f>IFERROR(D8/(1+(E8/I8)*(1-K8)+G8/I8), "N/A")</f>
        <v>1.2499954655930348</v>
      </c>
      <c r="N8" s="254">
        <v>850</v>
      </c>
      <c r="O8" s="266">
        <f>10309/(850-360)</f>
        <v>21.038775510204083</v>
      </c>
      <c r="P8" s="111">
        <v>6227</v>
      </c>
      <c r="Q8" s="257">
        <f>(5131/AVERAGE(850,360))</f>
        <v>8.4809917355371898</v>
      </c>
      <c r="R8" s="99">
        <v>0.69399999999999995</v>
      </c>
      <c r="S8" s="12">
        <f>16597/P8</f>
        <v>2.6653284085434397</v>
      </c>
      <c r="T8" s="12">
        <f>(39413.64/5131)^(1/3)-1</f>
        <v>0.97309582186434462</v>
      </c>
      <c r="U8" s="99">
        <v>0.58189999999999997</v>
      </c>
      <c r="V8" s="146">
        <v>7.31</v>
      </c>
      <c r="W8" s="146">
        <v>12.57</v>
      </c>
    </row>
    <row r="9" spans="2:23" ht="15.9" customHeight="1" x14ac:dyDescent="0.45">
      <c r="B9" s="5" t="s">
        <v>263</v>
      </c>
      <c r="C9" s="5" t="s">
        <v>264</v>
      </c>
      <c r="D9" s="51">
        <v>1.24</v>
      </c>
      <c r="E9" s="141">
        <f>18.4+8432</f>
        <v>8450.4</v>
      </c>
      <c r="F9" s="52">
        <f t="shared" si="0"/>
        <v>0.12496931372172056</v>
      </c>
      <c r="G9" s="112">
        <v>0</v>
      </c>
      <c r="H9" s="52">
        <f t="shared" si="1"/>
        <v>0</v>
      </c>
      <c r="I9" s="112">
        <v>59169.4</v>
      </c>
      <c r="J9" s="52">
        <f t="shared" si="2"/>
        <v>0.8750306862782794</v>
      </c>
      <c r="K9" s="114">
        <v>0.25800000000000001</v>
      </c>
      <c r="L9" s="53">
        <f>IFERROR(D9/(1+(E9/I9)*(1-K9)+G9/I9), "N/A")</f>
        <v>1.1211874703971281</v>
      </c>
      <c r="N9" s="254">
        <v>170</v>
      </c>
      <c r="O9" s="259">
        <f>20500/900</f>
        <v>22.777777777777779</v>
      </c>
      <c r="P9" s="265">
        <v>877.9</v>
      </c>
      <c r="Q9" s="259">
        <f>P9/AVERAGE(220,45)</f>
        <v>6.6256603773584901</v>
      </c>
      <c r="R9" s="99">
        <v>0.72099999999999997</v>
      </c>
      <c r="S9" s="12">
        <f>5995/P9</f>
        <v>6.8287959904317121</v>
      </c>
      <c r="T9" s="12">
        <f>(20383.79/529.8)^(1/3)-1</f>
        <v>2.3759110425388852</v>
      </c>
      <c r="U9" s="99">
        <v>0.41639999999999999</v>
      </c>
      <c r="V9" s="146">
        <v>17.260000000000002</v>
      </c>
      <c r="W9" s="146">
        <v>41.45</v>
      </c>
    </row>
    <row r="10" spans="2:23" ht="15.9" customHeight="1" x14ac:dyDescent="0.45"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</row>
    <row r="11" spans="2:23" ht="15.9" customHeight="1" x14ac:dyDescent="0.45">
      <c r="B11" s="54" t="s">
        <v>46</v>
      </c>
      <c r="C11" s="55"/>
      <c r="D11" s="56">
        <f t="shared" ref="D11:L11" si="3">MEDIAN(D8:D9)</f>
        <v>1.44</v>
      </c>
      <c r="E11" s="113">
        <f t="shared" si="3"/>
        <v>16654.699999999997</v>
      </c>
      <c r="F11" s="57">
        <f t="shared" si="3"/>
        <v>0.20937889466418902</v>
      </c>
      <c r="G11" s="113">
        <f t="shared" si="3"/>
        <v>0</v>
      </c>
      <c r="H11" s="57">
        <f t="shared" si="3"/>
        <v>0</v>
      </c>
      <c r="I11" s="113">
        <f t="shared" si="3"/>
        <v>59462.850000000006</v>
      </c>
      <c r="J11" s="57">
        <f t="shared" si="3"/>
        <v>0.79062110533581098</v>
      </c>
      <c r="K11" s="57">
        <f t="shared" si="3"/>
        <v>0.254</v>
      </c>
      <c r="L11" s="58">
        <f t="shared" si="3"/>
        <v>1.1855914679950814</v>
      </c>
      <c r="N11" s="258">
        <f t="shared" ref="N11:W11" si="4">MEDIAN(N8:N9)</f>
        <v>510</v>
      </c>
      <c r="O11" s="267">
        <f t="shared" si="4"/>
        <v>21.908276643990931</v>
      </c>
      <c r="P11" s="113">
        <f t="shared" si="4"/>
        <v>3552.4500000000003</v>
      </c>
      <c r="Q11" s="260">
        <f t="shared" si="4"/>
        <v>7.5533260564478404</v>
      </c>
      <c r="R11" s="57">
        <f t="shared" si="4"/>
        <v>0.70750000000000002</v>
      </c>
      <c r="S11" s="152">
        <f t="shared" si="4"/>
        <v>4.7470621994875764</v>
      </c>
      <c r="T11" s="153">
        <f t="shared" si="4"/>
        <v>1.674503432201615</v>
      </c>
      <c r="U11" s="57">
        <f t="shared" si="4"/>
        <v>0.49914999999999998</v>
      </c>
      <c r="V11" s="154">
        <f t="shared" si="4"/>
        <v>12.285</v>
      </c>
      <c r="W11" s="155">
        <f t="shared" si="4"/>
        <v>27.01</v>
      </c>
    </row>
    <row r="12" spans="2:23" ht="15.9" customHeight="1" x14ac:dyDescent="0.45"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O12" s="151"/>
    </row>
    <row r="13" spans="2:23" ht="15.9" customHeight="1" x14ac:dyDescent="0.45">
      <c r="B13" s="47" t="s">
        <v>286</v>
      </c>
      <c r="C13" s="47"/>
      <c r="D13" s="47"/>
      <c r="E13" s="47"/>
      <c r="F13" s="47"/>
      <c r="G13" s="47"/>
      <c r="H13" s="47"/>
      <c r="I13" s="47"/>
      <c r="J13" s="47"/>
      <c r="K13" s="47"/>
      <c r="L13" s="47"/>
      <c r="N13" s="48" t="s">
        <v>258</v>
      </c>
      <c r="O13" s="110"/>
      <c r="P13" s="110"/>
      <c r="Q13" s="110"/>
      <c r="R13" s="110"/>
      <c r="S13" s="139"/>
      <c r="T13" s="110" t="s">
        <v>67</v>
      </c>
      <c r="U13" s="110"/>
      <c r="V13" s="110"/>
      <c r="W13" s="110"/>
    </row>
    <row r="14" spans="2:23" ht="15.9" customHeight="1" x14ac:dyDescent="0.45">
      <c r="B14" s="47"/>
      <c r="C14" s="47"/>
      <c r="D14" s="48" t="s">
        <v>32</v>
      </c>
      <c r="E14" s="48"/>
      <c r="F14" s="48"/>
      <c r="G14" s="48" t="s">
        <v>33</v>
      </c>
      <c r="H14" s="48"/>
      <c r="I14" s="48" t="s">
        <v>34</v>
      </c>
      <c r="J14" s="48"/>
      <c r="K14" s="48"/>
      <c r="L14" s="48" t="s">
        <v>35</v>
      </c>
      <c r="N14" s="110" t="s">
        <v>257</v>
      </c>
      <c r="O14" s="48" t="s">
        <v>256</v>
      </c>
      <c r="P14" s="48" t="s">
        <v>110</v>
      </c>
      <c r="Q14" s="48" t="s">
        <v>261</v>
      </c>
      <c r="R14" s="110" t="s">
        <v>111</v>
      </c>
      <c r="S14" s="139" t="s">
        <v>106</v>
      </c>
      <c r="T14" s="48" t="s">
        <v>102</v>
      </c>
      <c r="U14" s="48" t="s">
        <v>63</v>
      </c>
      <c r="V14" s="48" t="s">
        <v>99</v>
      </c>
      <c r="W14" s="48" t="s">
        <v>99</v>
      </c>
    </row>
    <row r="15" spans="2:23" ht="15.9" customHeight="1" x14ac:dyDescent="0.45">
      <c r="B15" s="49" t="s">
        <v>36</v>
      </c>
      <c r="C15" s="49" t="s">
        <v>37</v>
      </c>
      <c r="D15" s="50" t="s">
        <v>38</v>
      </c>
      <c r="E15" s="50" t="s">
        <v>39</v>
      </c>
      <c r="F15" s="50" t="s">
        <v>40</v>
      </c>
      <c r="G15" s="50" t="s">
        <v>41</v>
      </c>
      <c r="H15" s="50" t="s">
        <v>42</v>
      </c>
      <c r="I15" s="50" t="s">
        <v>43</v>
      </c>
      <c r="J15" s="50" t="s">
        <v>44</v>
      </c>
      <c r="K15" s="50" t="s">
        <v>45</v>
      </c>
      <c r="L15" s="50" t="s">
        <v>38</v>
      </c>
      <c r="N15" s="110" t="s">
        <v>259</v>
      </c>
      <c r="O15" s="48" t="s">
        <v>260</v>
      </c>
      <c r="P15" s="48" t="s">
        <v>65</v>
      </c>
      <c r="Q15" s="48" t="s">
        <v>262</v>
      </c>
      <c r="R15" s="110" t="s">
        <v>64</v>
      </c>
      <c r="S15" s="139" t="s">
        <v>65</v>
      </c>
      <c r="T15" s="50" t="s">
        <v>103</v>
      </c>
      <c r="U15" s="50" t="s">
        <v>64</v>
      </c>
      <c r="V15" s="50" t="s">
        <v>65</v>
      </c>
      <c r="W15" s="50" t="s">
        <v>63</v>
      </c>
    </row>
    <row r="16" spans="2:23" ht="15.9" customHeight="1" x14ac:dyDescent="0.45">
      <c r="B16" s="5" t="s">
        <v>265</v>
      </c>
      <c r="C16" s="5" t="s">
        <v>266</v>
      </c>
      <c r="D16" s="51" t="s">
        <v>107</v>
      </c>
      <c r="E16" s="111">
        <v>222.31</v>
      </c>
      <c r="F16" s="52">
        <f t="shared" ref="F16:F20" si="5">E16/($E16+$G16+$I16)</f>
        <v>0.16218602038359681</v>
      </c>
      <c r="G16" s="262">
        <v>0</v>
      </c>
      <c r="H16" s="52">
        <f t="shared" ref="H16:H18" si="6">G16/($E16+$G16+$I16)</f>
        <v>0</v>
      </c>
      <c r="I16" s="111">
        <v>1148.4000000000001</v>
      </c>
      <c r="J16" s="52">
        <f t="shared" ref="J16:J20" si="7">I16/($I16+$G16+$E16)</f>
        <v>0.83781397961640325</v>
      </c>
      <c r="K16" s="114">
        <v>0.25</v>
      </c>
      <c r="L16" s="53" t="str">
        <f>IFERROR(D16/(1+(E16/I16)*(1-K16)+G16/I16), "N/A")</f>
        <v>N/A</v>
      </c>
      <c r="N16" s="254">
        <v>11</v>
      </c>
      <c r="O16" s="268">
        <v>9</v>
      </c>
      <c r="P16" s="111">
        <v>82.7</v>
      </c>
      <c r="Q16" s="257">
        <f>(77.7/AVERAGE(11,4))</f>
        <v>10.360000000000001</v>
      </c>
      <c r="R16" s="99">
        <v>0.873</v>
      </c>
      <c r="S16" s="12">
        <f>387.4/P16</f>
        <v>4.6844014510278109</v>
      </c>
      <c r="T16" s="12">
        <f>(486.05/77.7)^(1/3)-1</f>
        <v>0.84255294601122688</v>
      </c>
      <c r="U16" s="99">
        <v>0.32850000000000001</v>
      </c>
      <c r="V16" s="146">
        <v>10.32</v>
      </c>
      <c r="W16" s="146">
        <v>31.4</v>
      </c>
    </row>
    <row r="17" spans="2:23" ht="15.9" customHeight="1" x14ac:dyDescent="0.45">
      <c r="B17" s="5" t="s">
        <v>267</v>
      </c>
      <c r="C17" s="5" t="s">
        <v>268</v>
      </c>
      <c r="D17" s="51">
        <v>4.18</v>
      </c>
      <c r="E17" s="261">
        <v>3687.83</v>
      </c>
      <c r="F17" s="52">
        <f t="shared" si="5"/>
        <v>0.13971365714703535</v>
      </c>
      <c r="G17" s="261">
        <v>0</v>
      </c>
      <c r="H17" s="52">
        <f t="shared" si="6"/>
        <v>0</v>
      </c>
      <c r="I17" s="261">
        <v>22707.8</v>
      </c>
      <c r="J17" s="52">
        <f t="shared" si="7"/>
        <v>0.86028634285296468</v>
      </c>
      <c r="K17" s="114">
        <v>0.25</v>
      </c>
      <c r="L17" s="53">
        <f>IFERROR(D17/(1+(E17/I17)*(1-K17)+G17/I17), "N/A")</f>
        <v>3.7261452584035535</v>
      </c>
      <c r="N17" s="254">
        <v>100</v>
      </c>
      <c r="O17" s="145">
        <v>15</v>
      </c>
      <c r="P17" s="112">
        <v>757.1</v>
      </c>
      <c r="Q17" s="264">
        <f>P17/AVERAGE(60,100)</f>
        <v>9.463750000000001</v>
      </c>
      <c r="R17" s="99">
        <v>0.68400000000000005</v>
      </c>
      <c r="S17" s="12">
        <f>2712.8/P17</f>
        <v>3.5831462158235374</v>
      </c>
      <c r="T17" s="12">
        <f>(5816.54/501)^(1/3)-1</f>
        <v>1.2643436107980981</v>
      </c>
      <c r="U17" s="99">
        <v>0.41830000000000001</v>
      </c>
      <c r="V17" s="146">
        <v>7.88</v>
      </c>
      <c r="W17" s="146">
        <v>11.65</v>
      </c>
    </row>
    <row r="18" spans="2:23" ht="15.9" customHeight="1" x14ac:dyDescent="0.45">
      <c r="B18" s="5" t="s">
        <v>269</v>
      </c>
      <c r="C18" s="5" t="s">
        <v>270</v>
      </c>
      <c r="D18" s="51">
        <v>5.7</v>
      </c>
      <c r="E18" s="263">
        <f>98.17+2594.5</f>
        <v>2692.67</v>
      </c>
      <c r="F18" s="52">
        <f t="shared" si="5"/>
        <v>0.16552888750094516</v>
      </c>
      <c r="G18" s="261">
        <v>63.2</v>
      </c>
      <c r="H18" s="52">
        <f t="shared" si="6"/>
        <v>3.8851495690373251E-3</v>
      </c>
      <c r="I18" s="261">
        <v>13511.2</v>
      </c>
      <c r="J18" s="52">
        <f t="shared" si="7"/>
        <v>0.83058596293001752</v>
      </c>
      <c r="K18" s="114">
        <v>0.25</v>
      </c>
      <c r="L18" s="53">
        <f>IFERROR(D18/(1+(E18/I18)*(1-K18)+G18/I18), "N/A")</f>
        <v>4.938714988117952</v>
      </c>
      <c r="N18" s="254">
        <v>100</v>
      </c>
      <c r="O18" s="145">
        <v>12</v>
      </c>
      <c r="P18" s="112">
        <v>319.3</v>
      </c>
      <c r="Q18" s="264">
        <f>P18/AVERAGE(60,100)</f>
        <v>3.99125</v>
      </c>
      <c r="R18" s="99">
        <v>0.45400000000000001</v>
      </c>
      <c r="S18" s="12">
        <f>1775/P18</f>
        <v>5.5590353899154401</v>
      </c>
      <c r="T18" s="12">
        <f>(1604.06/144.2)^(1/3)-1</f>
        <v>1.2322960094638966</v>
      </c>
      <c r="U18" s="99">
        <v>0.23230000000000001</v>
      </c>
      <c r="V18" s="146">
        <v>21.09</v>
      </c>
      <c r="W18" s="146">
        <v>46.86</v>
      </c>
    </row>
    <row r="19" spans="2:23" ht="15.9" customHeight="1" x14ac:dyDescent="0.45">
      <c r="B19" s="5" t="s">
        <v>271</v>
      </c>
      <c r="C19" s="5" t="s">
        <v>272</v>
      </c>
      <c r="D19" s="51">
        <v>4.28</v>
      </c>
      <c r="E19" s="263">
        <f>588.93+43.56+4657.46</f>
        <v>5289.95</v>
      </c>
      <c r="F19" s="52">
        <f t="shared" si="5"/>
        <v>0.29461036158333681</v>
      </c>
      <c r="G19" s="261">
        <v>0</v>
      </c>
      <c r="H19" s="52">
        <f t="shared" ref="H19" si="8">G19/($E19+$G19+$I19)</f>
        <v>0</v>
      </c>
      <c r="I19" s="261">
        <v>12665.8</v>
      </c>
      <c r="J19" s="52">
        <f t="shared" si="7"/>
        <v>0.70538963841666313</v>
      </c>
      <c r="K19" s="114">
        <v>0.25</v>
      </c>
      <c r="L19" s="53">
        <f>IFERROR(D19/(1+(E19/I19)*(1-K19)+G19/I19), "N/A")</f>
        <v>3.2591095102358905</v>
      </c>
      <c r="N19" s="254">
        <v>60</v>
      </c>
      <c r="O19" s="145">
        <v>9</v>
      </c>
      <c r="P19" s="112">
        <v>168.1</v>
      </c>
      <c r="Q19" s="264">
        <f>21*4/60</f>
        <v>1.4</v>
      </c>
      <c r="R19" s="99">
        <v>0.64</v>
      </c>
      <c r="S19" s="12">
        <f>1690.8/P19</f>
        <v>10.058298631766805</v>
      </c>
      <c r="T19" s="12">
        <f>(1360.86/168.5)^(1/3)-1</f>
        <v>1.0063399210295749</v>
      </c>
      <c r="U19" s="99">
        <v>0.33489999999999998</v>
      </c>
      <c r="V19" s="146">
        <v>46.69</v>
      </c>
      <c r="W19" s="146" t="s">
        <v>114</v>
      </c>
    </row>
    <row r="20" spans="2:23" ht="15.9" customHeight="1" x14ac:dyDescent="0.45">
      <c r="B20" s="5" t="s">
        <v>273</v>
      </c>
      <c r="C20" s="5" t="s">
        <v>274</v>
      </c>
      <c r="D20" s="51">
        <v>3.15</v>
      </c>
      <c r="E20" s="263">
        <f>355.35+4376.76</f>
        <v>4732.1100000000006</v>
      </c>
      <c r="F20" s="52">
        <f t="shared" si="5"/>
        <v>0.32847937437656666</v>
      </c>
      <c r="G20" s="261">
        <v>0</v>
      </c>
      <c r="H20" s="52">
        <f t="shared" ref="H20" si="9">G20/($E20+$G20+$I20)</f>
        <v>0</v>
      </c>
      <c r="I20" s="261">
        <v>9674</v>
      </c>
      <c r="J20" s="52">
        <f t="shared" si="7"/>
        <v>0.6715206256234334</v>
      </c>
      <c r="K20" s="114">
        <v>0.25</v>
      </c>
      <c r="L20" s="53">
        <f>IFERROR(D20/(1+(E20/I20)*(1-K20)+G20/I20), "N/A")</f>
        <v>2.3045382950609281</v>
      </c>
      <c r="N20" s="254" t="s">
        <v>107</v>
      </c>
      <c r="O20" s="259">
        <f>AVERAGE(8,11)</f>
        <v>9.5</v>
      </c>
      <c r="P20" s="112">
        <v>209.8</v>
      </c>
      <c r="Q20" s="264">
        <f>787/700</f>
        <v>1.1242857142857143</v>
      </c>
      <c r="R20" s="99">
        <v>0.124</v>
      </c>
      <c r="S20" s="12">
        <f>947.1/P20</f>
        <v>4.5142993326978074</v>
      </c>
      <c r="T20" s="12">
        <f>(1179.45/223.9)^(1/3)-1</f>
        <v>0.73997021367148785</v>
      </c>
      <c r="U20" s="99">
        <v>0.14660000000000001</v>
      </c>
      <c r="V20" s="146">
        <v>57.43</v>
      </c>
      <c r="W20" s="146" t="s">
        <v>114</v>
      </c>
    </row>
    <row r="21" spans="2:23" ht="15.9" customHeight="1" x14ac:dyDescent="0.45"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</row>
    <row r="22" spans="2:23" ht="15.9" customHeight="1" x14ac:dyDescent="0.45">
      <c r="B22" s="54" t="s">
        <v>46</v>
      </c>
      <c r="C22" s="55"/>
      <c r="D22" s="56">
        <f t="shared" ref="D22:L22" si="10">MEDIAN(D16:D20)</f>
        <v>4.2300000000000004</v>
      </c>
      <c r="E22" s="113">
        <f t="shared" si="10"/>
        <v>3687.83</v>
      </c>
      <c r="F22" s="57">
        <f t="shared" si="10"/>
        <v>0.16552888750094516</v>
      </c>
      <c r="G22" s="113">
        <f t="shared" si="10"/>
        <v>0</v>
      </c>
      <c r="H22" s="57">
        <f t="shared" si="10"/>
        <v>0</v>
      </c>
      <c r="I22" s="113">
        <f t="shared" si="10"/>
        <v>12665.8</v>
      </c>
      <c r="J22" s="57">
        <f t="shared" si="10"/>
        <v>0.83058596293001752</v>
      </c>
      <c r="K22" s="57">
        <f t="shared" si="10"/>
        <v>0.25</v>
      </c>
      <c r="L22" s="58">
        <f t="shared" si="10"/>
        <v>3.492627384319722</v>
      </c>
      <c r="N22" s="258">
        <f t="shared" ref="N22:W22" si="11">MEDIAN(N16:N20)</f>
        <v>80</v>
      </c>
      <c r="O22" s="267">
        <f t="shared" si="11"/>
        <v>9.5</v>
      </c>
      <c r="P22" s="113">
        <f t="shared" si="11"/>
        <v>209.8</v>
      </c>
      <c r="Q22" s="260">
        <f t="shared" si="11"/>
        <v>3.99125</v>
      </c>
      <c r="R22" s="57">
        <f t="shared" si="11"/>
        <v>0.64</v>
      </c>
      <c r="S22" s="152">
        <f t="shared" si="11"/>
        <v>4.6844014510278109</v>
      </c>
      <c r="T22" s="153">
        <f t="shared" si="11"/>
        <v>1.0063399210295749</v>
      </c>
      <c r="U22" s="57">
        <f t="shared" si="11"/>
        <v>0.32850000000000001</v>
      </c>
      <c r="V22" s="154">
        <f t="shared" si="11"/>
        <v>21.09</v>
      </c>
      <c r="W22" s="155">
        <f t="shared" si="11"/>
        <v>31.4</v>
      </c>
    </row>
    <row r="23" spans="2:23" ht="15.9" customHeight="1" x14ac:dyDescent="0.45"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</row>
    <row r="24" spans="2:23" ht="15.9" customHeight="1" x14ac:dyDescent="0.45">
      <c r="B24" s="47" t="s">
        <v>276</v>
      </c>
      <c r="C24" s="47"/>
      <c r="D24" s="47"/>
      <c r="E24" s="47"/>
      <c r="F24" s="47"/>
      <c r="G24" s="47"/>
      <c r="H24" s="47"/>
      <c r="I24" s="47"/>
      <c r="J24" s="47"/>
      <c r="K24" s="47"/>
      <c r="L24" s="47"/>
      <c r="N24" s="110" t="s">
        <v>127</v>
      </c>
      <c r="O24" s="110"/>
      <c r="P24" s="110"/>
      <c r="Q24" s="110"/>
      <c r="R24" s="139"/>
      <c r="S24" s="139"/>
      <c r="T24" s="110" t="s">
        <v>67</v>
      </c>
      <c r="U24" s="110"/>
      <c r="V24" s="110"/>
      <c r="W24" s="110"/>
    </row>
    <row r="25" spans="2:23" ht="15.9" customHeight="1" x14ac:dyDescent="0.45">
      <c r="B25" s="47"/>
      <c r="C25" s="47"/>
      <c r="D25" s="48" t="s">
        <v>32</v>
      </c>
      <c r="E25" s="48"/>
      <c r="F25" s="48"/>
      <c r="G25" s="48" t="s">
        <v>33</v>
      </c>
      <c r="H25" s="48"/>
      <c r="I25" s="48" t="s">
        <v>34</v>
      </c>
      <c r="J25" s="48"/>
      <c r="K25" s="48"/>
      <c r="L25" s="48" t="s">
        <v>35</v>
      </c>
      <c r="N25" s="110"/>
      <c r="O25" s="48" t="s">
        <v>278</v>
      </c>
      <c r="P25" s="48" t="s">
        <v>110</v>
      </c>
      <c r="Q25" s="48"/>
      <c r="R25" s="110" t="s">
        <v>111</v>
      </c>
      <c r="S25" s="139" t="s">
        <v>106</v>
      </c>
      <c r="T25" s="48" t="s">
        <v>102</v>
      </c>
      <c r="U25" s="48" t="s">
        <v>63</v>
      </c>
      <c r="V25" s="48" t="s">
        <v>99</v>
      </c>
      <c r="W25" s="48" t="s">
        <v>99</v>
      </c>
    </row>
    <row r="26" spans="2:23" ht="15.9" customHeight="1" x14ac:dyDescent="0.45">
      <c r="B26" s="49" t="s">
        <v>36</v>
      </c>
      <c r="C26" s="49" t="s">
        <v>37</v>
      </c>
      <c r="D26" s="50" t="s">
        <v>38</v>
      </c>
      <c r="E26" s="50" t="s">
        <v>39</v>
      </c>
      <c r="F26" s="50" t="s">
        <v>40</v>
      </c>
      <c r="G26" s="50" t="s">
        <v>41</v>
      </c>
      <c r="H26" s="50" t="s">
        <v>42</v>
      </c>
      <c r="I26" s="50" t="s">
        <v>43</v>
      </c>
      <c r="J26" s="50" t="s">
        <v>44</v>
      </c>
      <c r="K26" s="50" t="s">
        <v>45</v>
      </c>
      <c r="L26" s="50" t="s">
        <v>38</v>
      </c>
      <c r="N26" s="110" t="s">
        <v>104</v>
      </c>
      <c r="O26" s="48" t="s">
        <v>120</v>
      </c>
      <c r="P26" s="48" t="s">
        <v>65</v>
      </c>
      <c r="Q26" s="48"/>
      <c r="R26" s="110" t="s">
        <v>64</v>
      </c>
      <c r="S26" s="139" t="s">
        <v>65</v>
      </c>
      <c r="T26" s="50" t="s">
        <v>103</v>
      </c>
      <c r="U26" s="50" t="s">
        <v>64</v>
      </c>
      <c r="V26" s="50" t="s">
        <v>65</v>
      </c>
      <c r="W26" s="50" t="s">
        <v>63</v>
      </c>
    </row>
    <row r="27" spans="2:23" ht="15.9" customHeight="1" x14ac:dyDescent="0.45">
      <c r="B27" s="5" t="s">
        <v>277</v>
      </c>
      <c r="C27" s="5" t="s">
        <v>281</v>
      </c>
      <c r="D27" s="51">
        <v>1.2</v>
      </c>
      <c r="E27" s="142">
        <f>46.99+3488.75</f>
        <v>3535.74</v>
      </c>
      <c r="F27" s="52">
        <f t="shared" ref="F27" si="12">E27/($E27+$G27+$I27)</f>
        <v>0.27201891963003938</v>
      </c>
      <c r="G27" s="111">
        <v>0</v>
      </c>
      <c r="H27" s="52">
        <f t="shared" ref="H27" si="13">G27/($E27+$G27+$I27)</f>
        <v>0</v>
      </c>
      <c r="I27" s="111">
        <v>9462.4</v>
      </c>
      <c r="J27" s="52">
        <f t="shared" ref="J27:J30" si="14">I27/($I27+$G27+$E27)</f>
        <v>0.72798108036996068</v>
      </c>
      <c r="K27" s="114">
        <v>0.25</v>
      </c>
      <c r="L27" s="53">
        <f t="shared" ref="L27:L30" si="15">D27/(1+(E27/I27)*(1-K27)+G27/I27)</f>
        <v>0.937319452659089</v>
      </c>
      <c r="N27" s="125">
        <v>3.17</v>
      </c>
      <c r="O27" s="140">
        <v>946</v>
      </c>
      <c r="P27" s="144">
        <v>6097</v>
      </c>
      <c r="Q27" s="144"/>
      <c r="R27" s="99">
        <v>0.55800000000000005</v>
      </c>
      <c r="S27" s="12">
        <f>222.5/P27</f>
        <v>3.649335738887978E-2</v>
      </c>
      <c r="T27" s="12">
        <f>(7974.25/5931.4)^(1/3)-1</f>
        <v>0.10368263972144787</v>
      </c>
      <c r="U27" s="99">
        <v>0.18770000000000001</v>
      </c>
      <c r="V27" s="146">
        <v>1.62</v>
      </c>
      <c r="W27" s="146">
        <v>8.6300000000000008</v>
      </c>
    </row>
    <row r="28" spans="2:23" ht="15.9" customHeight="1" x14ac:dyDescent="0.45">
      <c r="B28" s="5" t="s">
        <v>279</v>
      </c>
      <c r="C28" s="5" t="s">
        <v>280</v>
      </c>
      <c r="D28" s="51">
        <v>1.1000000000000001</v>
      </c>
      <c r="E28" s="112">
        <v>980.17</v>
      </c>
      <c r="F28" s="52">
        <f t="shared" ref="F28" si="16">E28/($E28+$G28+$I28)</f>
        <v>8.0266997069124907E-2</v>
      </c>
      <c r="G28" s="112">
        <v>0</v>
      </c>
      <c r="H28" s="52">
        <f t="shared" ref="H28" si="17">G28/($E28+$G28+$I28)</f>
        <v>0</v>
      </c>
      <c r="I28" s="112">
        <v>11231.2</v>
      </c>
      <c r="J28" s="52">
        <f t="shared" si="14"/>
        <v>0.91973300293087512</v>
      </c>
      <c r="K28" s="114">
        <v>0.25</v>
      </c>
      <c r="L28" s="53">
        <f t="shared" si="15"/>
        <v>1.0324236905600319</v>
      </c>
      <c r="M28" s="125"/>
      <c r="N28" s="143">
        <v>1.61</v>
      </c>
      <c r="O28" s="140">
        <v>631</v>
      </c>
      <c r="P28" s="145">
        <v>4374.3</v>
      </c>
      <c r="Q28" s="145"/>
      <c r="R28" s="99">
        <v>0.79900000000000004</v>
      </c>
      <c r="S28" s="12">
        <f>41.4/P28</f>
        <v>9.4643714422879086E-3</v>
      </c>
      <c r="T28" s="12">
        <f>(6096.61/4221.8)^(1/3)-1</f>
        <v>0.13030830734423127</v>
      </c>
      <c r="U28" s="99">
        <v>0.29049999999999998</v>
      </c>
      <c r="V28" s="146">
        <v>2.29</v>
      </c>
      <c r="W28" s="146">
        <v>7.88</v>
      </c>
    </row>
    <row r="29" spans="2:23" ht="15.9" customHeight="1" x14ac:dyDescent="0.45">
      <c r="B29" s="5" t="s">
        <v>282</v>
      </c>
      <c r="C29" s="5" t="s">
        <v>283</v>
      </c>
      <c r="D29" s="51">
        <v>1.85</v>
      </c>
      <c r="E29" s="141">
        <v>0</v>
      </c>
      <c r="F29" s="52">
        <f t="shared" ref="F29" si="18">E29/($E29+$G29+$I29)</f>
        <v>0</v>
      </c>
      <c r="G29" s="112">
        <v>0</v>
      </c>
      <c r="H29" s="52">
        <f t="shared" ref="H29" si="19">G29/($E29+$G29+$I29)</f>
        <v>0</v>
      </c>
      <c r="I29" s="112">
        <v>33881.599999999999</v>
      </c>
      <c r="J29" s="52">
        <f t="shared" si="14"/>
        <v>1</v>
      </c>
      <c r="K29" s="114">
        <v>0.25</v>
      </c>
      <c r="L29" s="53">
        <f t="shared" si="15"/>
        <v>1.85</v>
      </c>
      <c r="M29" s="125"/>
      <c r="N29" s="143">
        <v>5.23</v>
      </c>
      <c r="O29" s="140">
        <v>1300</v>
      </c>
      <c r="P29" s="145">
        <v>2473.6</v>
      </c>
      <c r="Q29" s="145"/>
      <c r="R29" s="99">
        <v>0.91400000000000003</v>
      </c>
      <c r="S29" s="12">
        <f>6.8/P29</f>
        <v>2.7490297542043986E-3</v>
      </c>
      <c r="T29" s="12">
        <f>(5326.84/2202.5)^(1/3)-1</f>
        <v>0.34230511482325476</v>
      </c>
      <c r="U29" s="99">
        <v>0.43630000000000002</v>
      </c>
      <c r="V29" s="146">
        <v>9.64</v>
      </c>
      <c r="W29" s="146">
        <v>22.11</v>
      </c>
    </row>
    <row r="30" spans="2:23" ht="15.9" customHeight="1" x14ac:dyDescent="0.45">
      <c r="B30" s="5" t="s">
        <v>284</v>
      </c>
      <c r="C30" s="5" t="s">
        <v>285</v>
      </c>
      <c r="D30" s="51">
        <v>1.36</v>
      </c>
      <c r="E30" s="112">
        <v>3974.2</v>
      </c>
      <c r="F30" s="52">
        <f t="shared" ref="F30" si="20">E30/($E30+$G30+$I30)</f>
        <v>0.32044573096491724</v>
      </c>
      <c r="G30" s="112">
        <v>0</v>
      </c>
      <c r="H30" s="52">
        <f t="shared" ref="H30" si="21">G30/($E30+$G30+$I30)</f>
        <v>0</v>
      </c>
      <c r="I30" s="112">
        <v>8427.9</v>
      </c>
      <c r="J30" s="52">
        <f t="shared" si="14"/>
        <v>0.67955426903508287</v>
      </c>
      <c r="K30" s="114">
        <v>0.25</v>
      </c>
      <c r="L30" s="53">
        <f t="shared" si="15"/>
        <v>1.0046801740799665</v>
      </c>
      <c r="M30" s="125"/>
      <c r="N30" s="150">
        <f>P30/O30/Months</f>
        <v>3.2592592592592595</v>
      </c>
      <c r="O30" s="140">
        <v>90</v>
      </c>
      <c r="P30" s="145">
        <v>3520</v>
      </c>
      <c r="Q30" s="145"/>
      <c r="R30" s="99">
        <v>0.73899999999999999</v>
      </c>
      <c r="S30" s="12">
        <f>61.7/P30</f>
        <v>1.7528409090909091E-2</v>
      </c>
      <c r="T30" s="12">
        <f>(3818.2/3487.2)^(1/3)-1</f>
        <v>3.0688125117593668E-2</v>
      </c>
      <c r="U30" s="99">
        <v>0.37990000000000002</v>
      </c>
      <c r="V30" s="146">
        <v>3.28</v>
      </c>
      <c r="W30" s="146">
        <v>8.6300000000000008</v>
      </c>
    </row>
    <row r="31" spans="2:23" ht="15.9" customHeight="1" x14ac:dyDescent="0.45"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</row>
    <row r="32" spans="2:23" ht="15.9" customHeight="1" x14ac:dyDescent="0.45">
      <c r="B32" s="54" t="s">
        <v>46</v>
      </c>
      <c r="C32" s="55"/>
      <c r="D32" s="56">
        <f t="shared" ref="D32:L32" si="22">MEDIAN(D27:D30)</f>
        <v>1.28</v>
      </c>
      <c r="E32" s="113">
        <f t="shared" si="22"/>
        <v>2257.9549999999999</v>
      </c>
      <c r="F32" s="57">
        <f t="shared" si="22"/>
        <v>0.17614295834958216</v>
      </c>
      <c r="G32" s="113">
        <f t="shared" si="22"/>
        <v>0</v>
      </c>
      <c r="H32" s="57">
        <f t="shared" si="22"/>
        <v>0</v>
      </c>
      <c r="I32" s="113">
        <f t="shared" si="22"/>
        <v>10346.799999999999</v>
      </c>
      <c r="J32" s="57">
        <f t="shared" si="22"/>
        <v>0.82385704165041784</v>
      </c>
      <c r="K32" s="57">
        <f t="shared" si="22"/>
        <v>0.25</v>
      </c>
      <c r="L32" s="58">
        <f t="shared" si="22"/>
        <v>1.0185519323199992</v>
      </c>
      <c r="N32" s="147">
        <f>MEDIAN(N27:N30)</f>
        <v>3.2146296296296297</v>
      </c>
      <c r="O32" s="148">
        <f>MEDIAN(O27:O30)</f>
        <v>788.5</v>
      </c>
      <c r="P32" s="113">
        <f>MEDIAN(P27:P30)</f>
        <v>3947.15</v>
      </c>
      <c r="Q32" s="113"/>
      <c r="R32" s="57">
        <f t="shared" ref="R32:W32" si="23">MEDIAN(R27:R30)</f>
        <v>0.76900000000000002</v>
      </c>
      <c r="S32" s="152">
        <f t="shared" si="23"/>
        <v>1.3496390266598501E-2</v>
      </c>
      <c r="T32" s="153">
        <f t="shared" si="23"/>
        <v>0.11699547353283957</v>
      </c>
      <c r="U32" s="57">
        <f t="shared" si="23"/>
        <v>0.3352</v>
      </c>
      <c r="V32" s="154">
        <f t="shared" si="23"/>
        <v>2.7850000000000001</v>
      </c>
      <c r="W32" s="155">
        <f t="shared" si="23"/>
        <v>8.6300000000000008</v>
      </c>
    </row>
    <row r="33" spans="2:12" ht="15.9" customHeight="1" x14ac:dyDescent="0.45"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</row>
  </sheetData>
  <pageMargins left="0.7" right="0.7" top="0.75" bottom="0.75" header="0.3" footer="0.3"/>
  <pageSetup scale="30" orientation="portrait" horizontalDpi="1200" verticalDpi="120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D4D3D0-A8F6-487E-AC5E-78454673EA98}">
  <sheetPr>
    <pageSetUpPr autoPageBreaks="0"/>
  </sheetPr>
  <dimension ref="B2:V30"/>
  <sheetViews>
    <sheetView showGridLines="0" zoomScaleNormal="100" workbookViewId="0">
      <pane xSplit="3" topLeftCell="D1" activePane="topRight" state="frozen"/>
      <selection pane="topRight" activeCell="B2" sqref="B2"/>
    </sheetView>
  </sheetViews>
  <sheetFormatPr defaultColWidth="9.15234375" defaultRowHeight="15.9" customHeight="1" x14ac:dyDescent="0.4"/>
  <cols>
    <col min="1" max="1" width="2.53515625" customWidth="1"/>
    <col min="2" max="2" width="38.23046875" customWidth="1"/>
    <col min="3" max="3" width="15.765625" bestFit="1" customWidth="1"/>
    <col min="4" max="12" width="12.69140625" customWidth="1"/>
    <col min="13" max="13" width="2.53515625" customWidth="1"/>
    <col min="14" max="22" width="12.69140625" customWidth="1"/>
    <col min="23" max="23" width="2.69140625" customWidth="1"/>
  </cols>
  <sheetData>
    <row r="2" spans="2:22" ht="15.9" customHeight="1" x14ac:dyDescent="0.5">
      <c r="B2" s="39" t="str">
        <f>"Comparable Public Companies by Maturity and Industry - "&amp;Div_3</f>
        <v>Comparable Public Companies by Maturity and Industry - Space</v>
      </c>
      <c r="C2" s="40"/>
    </row>
    <row r="3" spans="2:22" ht="15.9" customHeight="1" x14ac:dyDescent="0.45">
      <c r="B3" s="5" t="str">
        <f>STLK!$B$3</f>
        <v>($ in Millions USD Except Per Share Data)</v>
      </c>
      <c r="C3" s="6"/>
      <c r="D3" s="6"/>
      <c r="E3" s="6"/>
      <c r="F3" s="6"/>
      <c r="G3" s="6"/>
      <c r="H3" s="6"/>
      <c r="I3" s="6"/>
      <c r="J3" s="6"/>
      <c r="K3" s="6"/>
      <c r="L3" s="6"/>
      <c r="N3" s="300"/>
    </row>
    <row r="4" spans="2:22" ht="15.9" customHeight="1" x14ac:dyDescent="0.45">
      <c r="B4" s="6"/>
      <c r="C4" s="6"/>
      <c r="D4" s="6"/>
      <c r="E4" s="6"/>
      <c r="F4" s="6"/>
      <c r="G4" s="6"/>
      <c r="H4" s="6"/>
      <c r="I4" s="6"/>
      <c r="J4" s="6"/>
      <c r="K4" s="6"/>
      <c r="L4" s="6"/>
      <c r="S4" s="41"/>
    </row>
    <row r="5" spans="2:22" ht="15.9" customHeight="1" x14ac:dyDescent="0.45">
      <c r="B5" s="47" t="s">
        <v>332</v>
      </c>
      <c r="C5" s="47"/>
      <c r="D5" s="47"/>
      <c r="E5" s="47"/>
      <c r="F5" s="47"/>
      <c r="G5" s="47"/>
      <c r="H5" s="47"/>
      <c r="I5" s="47"/>
      <c r="J5" s="47"/>
      <c r="K5" s="47"/>
      <c r="L5" s="47"/>
      <c r="N5" s="110" t="s">
        <v>127</v>
      </c>
      <c r="O5" s="110"/>
      <c r="P5" s="110"/>
      <c r="Q5" s="139"/>
      <c r="R5" s="139"/>
      <c r="S5" s="110" t="s">
        <v>67</v>
      </c>
      <c r="T5" s="110"/>
      <c r="U5" s="110"/>
      <c r="V5" s="110"/>
    </row>
    <row r="6" spans="2:22" ht="15.9" customHeight="1" x14ac:dyDescent="0.45">
      <c r="B6" s="47"/>
      <c r="C6" s="47"/>
      <c r="D6" s="48" t="s">
        <v>32</v>
      </c>
      <c r="E6" s="48"/>
      <c r="F6" s="48"/>
      <c r="G6" s="48" t="s">
        <v>33</v>
      </c>
      <c r="H6" s="48"/>
      <c r="I6" s="48" t="s">
        <v>34</v>
      </c>
      <c r="J6" s="48"/>
      <c r="K6" s="48"/>
      <c r="L6" s="48" t="s">
        <v>35</v>
      </c>
      <c r="N6" s="110"/>
      <c r="O6" s="48" t="s">
        <v>338</v>
      </c>
      <c r="P6" s="48" t="s">
        <v>110</v>
      </c>
      <c r="Q6" s="110" t="s">
        <v>111</v>
      </c>
      <c r="R6" s="139" t="s">
        <v>106</v>
      </c>
      <c r="S6" s="48" t="s">
        <v>102</v>
      </c>
      <c r="T6" s="48" t="s">
        <v>63</v>
      </c>
      <c r="U6" s="48" t="s">
        <v>99</v>
      </c>
      <c r="V6" s="48" t="s">
        <v>99</v>
      </c>
    </row>
    <row r="7" spans="2:22" ht="15.9" customHeight="1" x14ac:dyDescent="0.45">
      <c r="B7" s="49" t="s">
        <v>36</v>
      </c>
      <c r="C7" s="49" t="s">
        <v>37</v>
      </c>
      <c r="D7" s="50" t="s">
        <v>38</v>
      </c>
      <c r="E7" s="50" t="s">
        <v>39</v>
      </c>
      <c r="F7" s="50" t="s">
        <v>40</v>
      </c>
      <c r="G7" s="50" t="s">
        <v>41</v>
      </c>
      <c r="H7" s="50" t="s">
        <v>42</v>
      </c>
      <c r="I7" s="50" t="s">
        <v>43</v>
      </c>
      <c r="J7" s="50" t="s">
        <v>44</v>
      </c>
      <c r="K7" s="50" t="s">
        <v>45</v>
      </c>
      <c r="L7" s="50" t="s">
        <v>38</v>
      </c>
      <c r="N7" s="110" t="s">
        <v>336</v>
      </c>
      <c r="O7" s="48" t="s">
        <v>337</v>
      </c>
      <c r="P7" s="48" t="s">
        <v>65</v>
      </c>
      <c r="Q7" s="110" t="s">
        <v>64</v>
      </c>
      <c r="R7" s="139" t="s">
        <v>65</v>
      </c>
      <c r="S7" s="50" t="s">
        <v>103</v>
      </c>
      <c r="T7" s="50" t="s">
        <v>64</v>
      </c>
      <c r="U7" s="50" t="s">
        <v>65</v>
      </c>
      <c r="V7" s="50" t="s">
        <v>63</v>
      </c>
    </row>
    <row r="8" spans="2:22" ht="15.9" customHeight="1" x14ac:dyDescent="0.45">
      <c r="B8" s="5" t="s">
        <v>358</v>
      </c>
      <c r="C8" s="5" t="s">
        <v>352</v>
      </c>
      <c r="D8" s="51">
        <v>2.31</v>
      </c>
      <c r="E8" s="142">
        <v>38.590000000000003</v>
      </c>
      <c r="F8" s="52">
        <f t="shared" ref="F8:F12" si="0">E8/($E8+$G8+$I8)</f>
        <v>4.6441105782104214E-4</v>
      </c>
      <c r="G8" s="111">
        <v>0</v>
      </c>
      <c r="H8" s="52">
        <f t="shared" ref="H8:H11" si="1">G8/($E8+$G8+$I8)</f>
        <v>0</v>
      </c>
      <c r="I8" s="111">
        <v>83055.899999999994</v>
      </c>
      <c r="J8" s="52">
        <f t="shared" ref="J8" si="2">I8/($I8+$G8+$E8)</f>
        <v>0.99953558894217898</v>
      </c>
      <c r="K8" s="114">
        <v>0.25</v>
      </c>
      <c r="L8" s="53">
        <f>IFERROR(D8/(1+(E8/I8)*(1-K8)+G8/I8), "N/A")</f>
        <v>2.3091953144161042</v>
      </c>
      <c r="M8" s="125"/>
      <c r="N8" s="111">
        <v>2219.7559999999999</v>
      </c>
      <c r="O8" s="301">
        <f t="shared" ref="O8:O16" si="3">N8/P8</f>
        <v>3.2662683931724539</v>
      </c>
      <c r="P8" s="111">
        <v>679.6</v>
      </c>
      <c r="Q8" s="99">
        <v>0.36599999999999999</v>
      </c>
      <c r="R8" s="12">
        <f>154.7/P8</f>
        <v>0.2276339022954679</v>
      </c>
      <c r="S8" s="12">
        <f>(1575.35/601.8)^(1/3)-1</f>
        <v>0.37818745144294597</v>
      </c>
      <c r="T8" s="99">
        <v>-5.8000000000000003E-2</v>
      </c>
      <c r="U8" s="146">
        <v>89.72</v>
      </c>
      <c r="V8" s="146" t="s">
        <v>114</v>
      </c>
    </row>
    <row r="9" spans="2:22" ht="15.9" customHeight="1" x14ac:dyDescent="0.45">
      <c r="B9" s="5" t="s">
        <v>359</v>
      </c>
      <c r="C9" s="5" t="s">
        <v>353</v>
      </c>
      <c r="D9" s="51">
        <v>1.36</v>
      </c>
      <c r="E9" s="141">
        <v>727.88</v>
      </c>
      <c r="F9" s="52">
        <f t="shared" si="0"/>
        <v>6.516744886466394E-2</v>
      </c>
      <c r="G9" s="112">
        <v>0</v>
      </c>
      <c r="H9" s="52">
        <f t="shared" si="1"/>
        <v>0</v>
      </c>
      <c r="I9" s="112">
        <v>10441.5</v>
      </c>
      <c r="J9" s="52">
        <f t="shared" ref="J9:J11" si="4">I9/($I9+$G9+$E9)</f>
        <v>0.93483255113533614</v>
      </c>
      <c r="K9" s="114">
        <v>0.25</v>
      </c>
      <c r="L9" s="53">
        <f t="shared" ref="L9:L12" si="5">IFERROR(D9/(1+(E9/I9)*(1-K9)+G9/I9), "N/A")</f>
        <v>1.2924283338839635</v>
      </c>
      <c r="M9" s="125"/>
      <c r="N9" s="261">
        <v>1120.675</v>
      </c>
      <c r="O9" s="301">
        <f t="shared" si="3"/>
        <v>0.69594174998447489</v>
      </c>
      <c r="P9" s="265">
        <v>1610.3</v>
      </c>
      <c r="Q9" s="99">
        <v>0.25</v>
      </c>
      <c r="R9" s="12">
        <f>54.7/P9</f>
        <v>3.3968825684655035E-2</v>
      </c>
      <c r="S9" s="12">
        <f>(2546.3/820.6)^(1/3)-1</f>
        <v>0.45856577647078667</v>
      </c>
      <c r="T9" s="99">
        <v>0.14349999999999999</v>
      </c>
      <c r="U9" s="146">
        <v>4.87</v>
      </c>
      <c r="V9" s="146">
        <v>29.75</v>
      </c>
    </row>
    <row r="10" spans="2:22" ht="15.9" customHeight="1" x14ac:dyDescent="0.45">
      <c r="B10" s="5" t="s">
        <v>360</v>
      </c>
      <c r="C10" s="5" t="s">
        <v>354</v>
      </c>
      <c r="D10" s="51">
        <v>1.06</v>
      </c>
      <c r="E10" s="141">
        <v>0</v>
      </c>
      <c r="F10" s="52">
        <f t="shared" si="0"/>
        <v>0</v>
      </c>
      <c r="G10" s="112">
        <v>0</v>
      </c>
      <c r="H10" s="52">
        <f t="shared" si="1"/>
        <v>0</v>
      </c>
      <c r="I10" s="112">
        <v>12025.7</v>
      </c>
      <c r="J10" s="52">
        <f t="shared" si="4"/>
        <v>1</v>
      </c>
      <c r="K10" s="114">
        <v>0.25</v>
      </c>
      <c r="L10" s="53">
        <f t="shared" si="5"/>
        <v>1.06</v>
      </c>
      <c r="M10" s="125"/>
      <c r="N10" s="261">
        <v>2011</v>
      </c>
      <c r="O10" s="301">
        <f t="shared" si="3"/>
        <v>1.4210005652911248</v>
      </c>
      <c r="P10" s="265">
        <v>1415.2</v>
      </c>
      <c r="Q10" s="99">
        <v>0.22900000000000001</v>
      </c>
      <c r="R10" s="12">
        <f>92.6/P10</f>
        <v>6.543244771057094E-2</v>
      </c>
      <c r="S10" s="12">
        <f>(2600.06/1346.8)^(1/3)-1</f>
        <v>0.2451645681818444</v>
      </c>
      <c r="T10" s="99">
        <v>0.1018</v>
      </c>
      <c r="U10" s="146">
        <v>6.17</v>
      </c>
      <c r="V10" s="146">
        <v>60.58</v>
      </c>
    </row>
    <row r="11" spans="2:22" ht="15.9" customHeight="1" x14ac:dyDescent="0.45">
      <c r="B11" s="5" t="s">
        <v>361</v>
      </c>
      <c r="C11" s="5" t="s">
        <v>355</v>
      </c>
      <c r="D11" s="51">
        <v>2.42</v>
      </c>
      <c r="E11" s="141">
        <f>3.17+4.83+83.37</f>
        <v>91.37</v>
      </c>
      <c r="F11" s="52">
        <f t="shared" si="0"/>
        <v>1.8163673845065075E-2</v>
      </c>
      <c r="G11" s="112">
        <v>77</v>
      </c>
      <c r="H11" s="52">
        <f t="shared" si="1"/>
        <v>1.5307025129364242E-2</v>
      </c>
      <c r="I11" s="112">
        <v>4862</v>
      </c>
      <c r="J11" s="52">
        <f t="shared" si="4"/>
        <v>0.96652930102557066</v>
      </c>
      <c r="K11" s="114">
        <v>0.25</v>
      </c>
      <c r="L11" s="53">
        <f t="shared" si="5"/>
        <v>2.3496705709554266</v>
      </c>
      <c r="M11" s="125"/>
      <c r="N11" s="261">
        <v>498.1</v>
      </c>
      <c r="O11" s="301">
        <f t="shared" si="3"/>
        <v>1.3425876010781672</v>
      </c>
      <c r="P11" s="265">
        <v>371</v>
      </c>
      <c r="Q11" s="99">
        <v>0.129</v>
      </c>
      <c r="R11" s="12">
        <f>16.4/P11</f>
        <v>4.4204851752021559E-2</v>
      </c>
      <c r="S11" s="12">
        <f>(664.4/335.4)^(1/3)-1</f>
        <v>0.25590133427899953</v>
      </c>
      <c r="T11" s="99">
        <v>-4.2999999999999997E-2</v>
      </c>
      <c r="U11" s="146">
        <v>10.49</v>
      </c>
      <c r="V11" s="146" t="s">
        <v>114</v>
      </c>
    </row>
    <row r="12" spans="2:22" ht="15.9" customHeight="1" x14ac:dyDescent="0.45">
      <c r="B12" s="5" t="s">
        <v>362</v>
      </c>
      <c r="C12" s="5" t="s">
        <v>348</v>
      </c>
      <c r="D12" s="51" t="s">
        <v>107</v>
      </c>
      <c r="E12" s="112">
        <v>244.7</v>
      </c>
      <c r="F12" s="52">
        <f t="shared" si="0"/>
        <v>3.803942295734361E-2</v>
      </c>
      <c r="G12" s="112">
        <v>0</v>
      </c>
      <c r="H12" s="52">
        <f t="shared" ref="H12" si="6">G12/($E12+$G12+$I12)</f>
        <v>0</v>
      </c>
      <c r="I12" s="112">
        <v>6188.1</v>
      </c>
      <c r="J12" s="52">
        <f t="shared" ref="J12" si="7">I12/($I12+$G12+$E12)</f>
        <v>0.96196057704265636</v>
      </c>
      <c r="K12" s="114">
        <v>0.25</v>
      </c>
      <c r="L12" s="53" t="str">
        <f t="shared" si="5"/>
        <v>N/A</v>
      </c>
      <c r="M12" s="125"/>
      <c r="N12" s="261">
        <v>2730.7439999999997</v>
      </c>
      <c r="O12" s="301">
        <f t="shared" si="3"/>
        <v>2.1556236185664663</v>
      </c>
      <c r="P12" s="265">
        <v>1266.8</v>
      </c>
      <c r="Q12" s="99">
        <v>0.28699999999999998</v>
      </c>
      <c r="R12" s="12">
        <f>147/P12</f>
        <v>0.11604041679823177</v>
      </c>
      <c r="S12" s="12">
        <f>(1627.17/1184.7)^(1/3)-1</f>
        <v>0.11158201998829842</v>
      </c>
      <c r="T12" s="99">
        <v>0.19209999999999999</v>
      </c>
      <c r="U12" s="146">
        <v>4.58</v>
      </c>
      <c r="V12" s="146">
        <v>23.82</v>
      </c>
    </row>
    <row r="13" spans="2:22" ht="15.9" customHeight="1" x14ac:dyDescent="0.45">
      <c r="B13" s="5" t="s">
        <v>363</v>
      </c>
      <c r="C13" s="5" t="s">
        <v>349</v>
      </c>
      <c r="D13" s="51" t="s">
        <v>107</v>
      </c>
      <c r="E13" s="141">
        <f>4.69+143.19</f>
        <v>147.88</v>
      </c>
      <c r="F13" s="52">
        <f t="shared" ref="F13" si="8">E13/($E13+$G13+$I13)</f>
        <v>3.3754234115788803E-2</v>
      </c>
      <c r="G13" s="112">
        <v>0</v>
      </c>
      <c r="H13" s="52">
        <f t="shared" ref="H13" si="9">G13/($E13+$G13+$I13)</f>
        <v>0</v>
      </c>
      <c r="I13" s="112">
        <v>4233.2</v>
      </c>
      <c r="J13" s="52">
        <f t="shared" ref="J13" si="10">I13/($I13+$G13+$E13)</f>
        <v>0.96624576588421118</v>
      </c>
      <c r="K13" s="114">
        <v>0.25</v>
      </c>
      <c r="L13" s="53" t="str">
        <f t="shared" ref="L13" si="11">IFERROR(D13/(1+(E13/I13)*(1-K13)+G13/I13), "N/A")</f>
        <v>N/A</v>
      </c>
      <c r="M13" s="125"/>
      <c r="N13" s="261">
        <v>642.298</v>
      </c>
      <c r="O13" s="301">
        <f t="shared" si="3"/>
        <v>1.62073681554378</v>
      </c>
      <c r="P13" s="265">
        <v>396.3</v>
      </c>
      <c r="Q13" s="99">
        <v>0.184</v>
      </c>
      <c r="R13" s="12">
        <f>9.8/P13</f>
        <v>2.4728740852889227E-2</v>
      </c>
      <c r="S13" s="12">
        <f>(1099.36/386.2)^(1/3)-1</f>
        <v>0.41723723470794072</v>
      </c>
      <c r="T13" s="99">
        <v>7.3300000000000004E-2</v>
      </c>
      <c r="U13" s="146">
        <v>6.74</v>
      </c>
      <c r="V13" s="146">
        <v>92.08</v>
      </c>
    </row>
    <row r="14" spans="2:22" ht="15.9" customHeight="1" x14ac:dyDescent="0.45">
      <c r="B14" s="5" t="s">
        <v>364</v>
      </c>
      <c r="C14" s="5" t="s">
        <v>356</v>
      </c>
      <c r="D14" s="51">
        <v>1.47</v>
      </c>
      <c r="E14" s="141">
        <f>28.78+335.84</f>
        <v>364.62</v>
      </c>
      <c r="F14" s="52">
        <f t="shared" ref="F14" si="12">E14/($E14+$G14+$I14)</f>
        <v>4.9291490587004307E-2</v>
      </c>
      <c r="G14" s="112">
        <v>0</v>
      </c>
      <c r="H14" s="52">
        <f t="shared" ref="H14" si="13">G14/($E14+$G14+$I14)</f>
        <v>0</v>
      </c>
      <c r="I14" s="112">
        <v>7032.6</v>
      </c>
      <c r="J14" s="52">
        <f t="shared" ref="J14" si="14">I14/($I14+$G14+$E14)</f>
        <v>0.95070850941299567</v>
      </c>
      <c r="K14" s="114">
        <v>0.25</v>
      </c>
      <c r="L14" s="53">
        <f t="shared" ref="L14" si="15">IFERROR(D14/(1+(E14/I14)*(1-K14)+G14/I14), "N/A")</f>
        <v>1.4149781038082743</v>
      </c>
      <c r="M14" s="125"/>
      <c r="N14" s="261">
        <v>1055.434</v>
      </c>
      <c r="O14" s="301">
        <f t="shared" si="3"/>
        <v>3.1571462758001791</v>
      </c>
      <c r="P14" s="265">
        <v>334.3</v>
      </c>
      <c r="Q14" s="99">
        <v>9.7000000000000003E-2</v>
      </c>
      <c r="R14" s="12">
        <f>45.4/P14</f>
        <v>0.13580616212982349</v>
      </c>
      <c r="S14" s="12">
        <f>(1390.94/210.1)^(1/3)-1</f>
        <v>0.87770536888813933</v>
      </c>
      <c r="T14" s="99">
        <v>3.4599999999999999E-2</v>
      </c>
      <c r="U14" s="146">
        <v>8.7799999999999994</v>
      </c>
      <c r="V14" s="146" t="s">
        <v>114</v>
      </c>
    </row>
    <row r="15" spans="2:22" ht="15.9" customHeight="1" x14ac:dyDescent="0.45">
      <c r="B15" s="5" t="s">
        <v>365</v>
      </c>
      <c r="C15" s="5" t="s">
        <v>350</v>
      </c>
      <c r="D15" s="51" t="s">
        <v>107</v>
      </c>
      <c r="E15" s="141">
        <f>7.12+19.68</f>
        <v>26.8</v>
      </c>
      <c r="F15" s="52">
        <f t="shared" ref="F15" si="16">E15/($E15+$G15+$I15)</f>
        <v>3.5847567582028062E-3</v>
      </c>
      <c r="G15" s="112">
        <v>0</v>
      </c>
      <c r="H15" s="52">
        <f t="shared" ref="H15" si="17">G15/($E15+$G15+$I15)</f>
        <v>0</v>
      </c>
      <c r="I15" s="112">
        <v>7449.3</v>
      </c>
      <c r="J15" s="52">
        <f t="shared" ref="J15" si="18">I15/($I15+$G15+$E15)</f>
        <v>0.9964152432417972</v>
      </c>
      <c r="K15" s="114">
        <v>0.25</v>
      </c>
      <c r="L15" s="53" t="str">
        <f t="shared" ref="L15" si="19">IFERROR(D15/(1+(E15/I15)*(1-K15)+G15/I15), "N/A")</f>
        <v>N/A</v>
      </c>
      <c r="M15" s="125"/>
      <c r="N15" s="261">
        <v>1293.1780000000001</v>
      </c>
      <c r="O15" s="301">
        <f t="shared" si="3"/>
        <v>6.9939318550567879</v>
      </c>
      <c r="P15" s="265">
        <v>184.9</v>
      </c>
      <c r="Q15" s="99">
        <v>0.248</v>
      </c>
      <c r="R15" s="12">
        <f>46.5/P15</f>
        <v>0.25148729042725798</v>
      </c>
      <c r="S15" s="12">
        <f>(1099.09/159.9)^(1/3)-1</f>
        <v>0.90134793595181262</v>
      </c>
      <c r="T15" s="99">
        <v>-0.57999999999999996</v>
      </c>
      <c r="U15" s="146">
        <v>15.88</v>
      </c>
      <c r="V15" s="146" t="s">
        <v>114</v>
      </c>
    </row>
    <row r="16" spans="2:22" ht="15.9" customHeight="1" x14ac:dyDescent="0.45">
      <c r="B16" s="5" t="s">
        <v>366</v>
      </c>
      <c r="C16" s="5" t="s">
        <v>351</v>
      </c>
      <c r="D16" s="51" t="s">
        <v>107</v>
      </c>
      <c r="E16" s="112">
        <v>448.27</v>
      </c>
      <c r="F16" s="52">
        <f t="shared" ref="F16" si="20">E16/($E16+$G16+$I16)</f>
        <v>0.13248432868242713</v>
      </c>
      <c r="G16" s="112">
        <v>0</v>
      </c>
      <c r="H16" s="52">
        <f t="shared" ref="H16" si="21">G16/($E16+$G16+$I16)</f>
        <v>0</v>
      </c>
      <c r="I16" s="112">
        <v>2935.3</v>
      </c>
      <c r="J16" s="52">
        <f t="shared" ref="J16" si="22">I16/($I16+$G16+$E16)</f>
        <v>0.8675156713175729</v>
      </c>
      <c r="K16" s="114">
        <v>0.25</v>
      </c>
      <c r="L16" s="53" t="str">
        <f t="shared" ref="L16" si="23">IFERROR(D16/(1+(E16/I16)*(1-K16)+G16/I16), "N/A")</f>
        <v>N/A</v>
      </c>
      <c r="M16" s="125"/>
      <c r="N16" s="261">
        <v>275</v>
      </c>
      <c r="O16" s="301">
        <f t="shared" si="3"/>
        <v>1.6447368421052633</v>
      </c>
      <c r="P16" s="265">
        <v>167.2</v>
      </c>
      <c r="Q16" s="99">
        <v>0.13600000000000001</v>
      </c>
      <c r="R16" s="12">
        <f>168.8/P16</f>
        <v>1.0095693779904307</v>
      </c>
      <c r="S16" s="12">
        <f>(739.73/166.4)^(1/3)-1</f>
        <v>0.644270644657853</v>
      </c>
      <c r="T16" s="99">
        <v>-0.70499999999999996</v>
      </c>
      <c r="U16" s="146">
        <v>12.62</v>
      </c>
      <c r="V16" s="146" t="s">
        <v>114</v>
      </c>
    </row>
    <row r="17" spans="2:22" ht="15.9" customHeight="1" x14ac:dyDescent="0.45"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</row>
    <row r="18" spans="2:22" ht="15.9" customHeight="1" x14ac:dyDescent="0.45">
      <c r="B18" s="54" t="s">
        <v>46</v>
      </c>
      <c r="C18" s="55"/>
      <c r="D18" s="56">
        <f t="shared" ref="D18:L18" si="24">MEDIAN(D8:D16)</f>
        <v>1.47</v>
      </c>
      <c r="E18" s="113">
        <f t="shared" si="24"/>
        <v>147.88</v>
      </c>
      <c r="F18" s="57">
        <f t="shared" si="24"/>
        <v>3.3754234115788803E-2</v>
      </c>
      <c r="G18" s="113">
        <f t="shared" si="24"/>
        <v>0</v>
      </c>
      <c r="H18" s="57">
        <f t="shared" si="24"/>
        <v>0</v>
      </c>
      <c r="I18" s="113">
        <f t="shared" si="24"/>
        <v>7032.6</v>
      </c>
      <c r="J18" s="57">
        <f t="shared" si="24"/>
        <v>0.96624576588421118</v>
      </c>
      <c r="K18" s="57">
        <f t="shared" si="24"/>
        <v>0.25</v>
      </c>
      <c r="L18" s="58">
        <f t="shared" si="24"/>
        <v>1.4149781038082743</v>
      </c>
      <c r="N18" s="305">
        <f t="shared" ref="N18:V18" si="25">MEDIAN(N8:N16)</f>
        <v>1120.675</v>
      </c>
      <c r="O18" s="298">
        <f t="shared" si="25"/>
        <v>1.6447368421052633</v>
      </c>
      <c r="P18" s="113">
        <f t="shared" si="25"/>
        <v>396.3</v>
      </c>
      <c r="Q18" s="57">
        <f t="shared" si="25"/>
        <v>0.22900000000000001</v>
      </c>
      <c r="R18" s="152">
        <f t="shared" si="25"/>
        <v>0.11604041679823177</v>
      </c>
      <c r="S18" s="153">
        <f t="shared" si="25"/>
        <v>0.41723723470794072</v>
      </c>
      <c r="T18" s="57">
        <f t="shared" si="25"/>
        <v>3.4599999999999999E-2</v>
      </c>
      <c r="U18" s="154">
        <f t="shared" si="25"/>
        <v>8.7799999999999994</v>
      </c>
      <c r="V18" s="155">
        <f t="shared" si="25"/>
        <v>45.164999999999999</v>
      </c>
    </row>
    <row r="19" spans="2:22" ht="15.9" customHeight="1" x14ac:dyDescent="0.45"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</row>
    <row r="20" spans="2:22" ht="15.9" customHeight="1" x14ac:dyDescent="0.45">
      <c r="B20" s="47" t="s">
        <v>333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  <c r="N20" s="110" t="s">
        <v>127</v>
      </c>
      <c r="O20" s="110"/>
      <c r="P20" s="110"/>
      <c r="Q20" s="139"/>
      <c r="R20" s="139"/>
      <c r="S20" s="110" t="s">
        <v>67</v>
      </c>
      <c r="T20" s="110"/>
      <c r="U20" s="110"/>
      <c r="V20" s="110"/>
    </row>
    <row r="21" spans="2:22" ht="15.9" customHeight="1" x14ac:dyDescent="0.45">
      <c r="B21" s="47"/>
      <c r="C21" s="47"/>
      <c r="D21" s="48" t="s">
        <v>32</v>
      </c>
      <c r="E21" s="48"/>
      <c r="F21" s="48"/>
      <c r="G21" s="48" t="s">
        <v>33</v>
      </c>
      <c r="H21" s="48"/>
      <c r="I21" s="48" t="s">
        <v>34</v>
      </c>
      <c r="J21" s="48"/>
      <c r="K21" s="48"/>
      <c r="L21" s="48" t="s">
        <v>35</v>
      </c>
      <c r="N21" s="110"/>
      <c r="O21" s="48" t="s">
        <v>338</v>
      </c>
      <c r="P21" s="48" t="s">
        <v>110</v>
      </c>
      <c r="Q21" s="110" t="s">
        <v>111</v>
      </c>
      <c r="R21" s="139" t="s">
        <v>106</v>
      </c>
      <c r="S21" s="48" t="s">
        <v>102</v>
      </c>
      <c r="T21" s="48" t="s">
        <v>63</v>
      </c>
      <c r="U21" s="48" t="s">
        <v>99</v>
      </c>
      <c r="V21" s="48" t="s">
        <v>99</v>
      </c>
    </row>
    <row r="22" spans="2:22" ht="15.9" customHeight="1" x14ac:dyDescent="0.45">
      <c r="B22" s="49" t="s">
        <v>36</v>
      </c>
      <c r="C22" s="49" t="s">
        <v>37</v>
      </c>
      <c r="D22" s="50" t="s">
        <v>38</v>
      </c>
      <c r="E22" s="50" t="s">
        <v>39</v>
      </c>
      <c r="F22" s="50" t="s">
        <v>40</v>
      </c>
      <c r="G22" s="50" t="s">
        <v>41</v>
      </c>
      <c r="H22" s="50" t="s">
        <v>42</v>
      </c>
      <c r="I22" s="50" t="s">
        <v>43</v>
      </c>
      <c r="J22" s="50" t="s">
        <v>44</v>
      </c>
      <c r="K22" s="50" t="s">
        <v>45</v>
      </c>
      <c r="L22" s="50" t="s">
        <v>38</v>
      </c>
      <c r="N22" s="110" t="s">
        <v>336</v>
      </c>
      <c r="O22" s="48" t="s">
        <v>337</v>
      </c>
      <c r="P22" s="48" t="s">
        <v>65</v>
      </c>
      <c r="Q22" s="110" t="s">
        <v>64</v>
      </c>
      <c r="R22" s="139" t="s">
        <v>65</v>
      </c>
      <c r="S22" s="50" t="s">
        <v>103</v>
      </c>
      <c r="T22" s="50" t="s">
        <v>64</v>
      </c>
      <c r="U22" s="50" t="s">
        <v>65</v>
      </c>
      <c r="V22" s="50" t="s">
        <v>63</v>
      </c>
    </row>
    <row r="23" spans="2:22" ht="15.9" customHeight="1" x14ac:dyDescent="0.45">
      <c r="B23" s="5" t="s">
        <v>334</v>
      </c>
      <c r="C23" s="5" t="s">
        <v>335</v>
      </c>
      <c r="D23" s="51">
        <v>1.21</v>
      </c>
      <c r="E23" s="142">
        <f>2855+44107</f>
        <v>46962</v>
      </c>
      <c r="F23" s="52">
        <f t="shared" ref="F23" si="26">E23/($E23+$G23+$I23)</f>
        <v>0.20490950288436238</v>
      </c>
      <c r="G23" s="111">
        <v>6</v>
      </c>
      <c r="H23" s="52">
        <f t="shared" ref="H23" si="27">G23/($E23+$G23+$I23)</f>
        <v>2.6179826611008356E-5</v>
      </c>
      <c r="I23" s="111">
        <v>182216.1</v>
      </c>
      <c r="J23" s="52">
        <f t="shared" ref="J23" si="28">I23/($I23+$G23+$E23)</f>
        <v>0.7950643172890266</v>
      </c>
      <c r="K23" s="114">
        <v>0.25</v>
      </c>
      <c r="L23" s="53">
        <f t="shared" ref="L23" si="29">D23/(1+(E23/I23)*(1-K23)+G23/I23)</f>
        <v>1.0139708917622776</v>
      </c>
      <c r="N23" s="111">
        <v>694709</v>
      </c>
      <c r="O23" s="301">
        <f>N23/P23</f>
        <v>7.5361125574937082</v>
      </c>
      <c r="P23" s="111">
        <v>92184</v>
      </c>
      <c r="Q23" s="99">
        <v>4.8000000000000001E-2</v>
      </c>
      <c r="R23" s="12">
        <f>3543/P23</f>
        <v>3.8434001562093208E-2</v>
      </c>
      <c r="S23" s="12">
        <f>(123134.12/89463)^(1/3)-1</f>
        <v>0.1123590294677288</v>
      </c>
      <c r="T23" s="99">
        <v>4.4900000000000002E-2</v>
      </c>
      <c r="U23" s="146">
        <v>2.17</v>
      </c>
      <c r="V23" s="146">
        <v>48.29</v>
      </c>
    </row>
    <row r="24" spans="2:22" ht="15.9" customHeight="1" x14ac:dyDescent="0.45">
      <c r="B24" s="5" t="s">
        <v>339</v>
      </c>
      <c r="C24" s="5" t="s">
        <v>340</v>
      </c>
      <c r="D24" s="51">
        <v>0.3</v>
      </c>
      <c r="E24" s="141">
        <f>226+4213+32903</f>
        <v>37342</v>
      </c>
      <c r="F24" s="52">
        <f t="shared" ref="F24" si="30">E24/($E24+$G24+$I24)</f>
        <v>0.13370470744978913</v>
      </c>
      <c r="G24" s="112">
        <v>0</v>
      </c>
      <c r="H24" s="52">
        <f t="shared" ref="H24" si="31">G24/($E24+$G24+$I24)</f>
        <v>0</v>
      </c>
      <c r="I24" s="112">
        <v>241945.1</v>
      </c>
      <c r="J24" s="52">
        <f t="shared" ref="J24:J25" si="32">I24/($I24+$G24+$E24)</f>
        <v>0.86629529255021098</v>
      </c>
      <c r="K24" s="114">
        <v>0.25</v>
      </c>
      <c r="L24" s="53">
        <f t="shared" ref="L24:L25" si="33">D24/(1+(E24/I24)*(1-K24)+G24/I24)</f>
        <v>0.2688760874171518</v>
      </c>
      <c r="M24" s="125"/>
      <c r="N24" s="261">
        <v>271000</v>
      </c>
      <c r="O24" s="301">
        <f>N24/P24</f>
        <v>2.9986832350370132</v>
      </c>
      <c r="P24" s="265">
        <v>90373</v>
      </c>
      <c r="Q24" s="99">
        <v>0.20200000000000001</v>
      </c>
      <c r="R24" s="12">
        <f>2660/P24</f>
        <v>2.9433569760879907E-2</v>
      </c>
      <c r="S24" s="12">
        <f>(107084.58/88603)^(1/3)-1</f>
        <v>6.5187767150478582E-2</v>
      </c>
      <c r="T24" s="99">
        <v>0.16830000000000001</v>
      </c>
      <c r="U24" s="146">
        <v>2.93</v>
      </c>
      <c r="V24" s="146">
        <v>17.420000000000002</v>
      </c>
    </row>
    <row r="25" spans="2:22" ht="15.9" customHeight="1" x14ac:dyDescent="0.45">
      <c r="B25" s="5" t="s">
        <v>341</v>
      </c>
      <c r="C25" s="5" t="s">
        <v>342</v>
      </c>
      <c r="D25" s="51">
        <v>0.1</v>
      </c>
      <c r="E25" s="112">
        <v>20697</v>
      </c>
      <c r="F25" s="52">
        <f t="shared" ref="F25" si="34">E25/($E25+$G25+$I25)</f>
        <v>0.14473477179990141</v>
      </c>
      <c r="G25" s="112">
        <v>0</v>
      </c>
      <c r="H25" s="52">
        <f t="shared" ref="H25" si="35">G25/($E25+$G25+$I25)</f>
        <v>0</v>
      </c>
      <c r="I25" s="112">
        <v>122302.5</v>
      </c>
      <c r="J25" s="52">
        <f t="shared" si="32"/>
        <v>0.85526522820009865</v>
      </c>
      <c r="K25" s="114">
        <v>0.25</v>
      </c>
      <c r="L25" s="53">
        <f t="shared" si="33"/>
        <v>8.8737368515565906E-2</v>
      </c>
      <c r="M25" s="125"/>
      <c r="N25" s="261">
        <v>186400</v>
      </c>
      <c r="O25" s="301">
        <f>N25/P25</f>
        <v>2.4818256863632731</v>
      </c>
      <c r="P25" s="265">
        <v>75106</v>
      </c>
      <c r="Q25" s="99">
        <v>9.9000000000000005E-2</v>
      </c>
      <c r="R25" s="12">
        <f>1706/P25</f>
        <v>2.2714563417037256E-2</v>
      </c>
      <c r="S25" s="12">
        <f>(87802.6/75048)^(1/3)-1</f>
        <v>5.3714002103013803E-2</v>
      </c>
      <c r="T25" s="99">
        <v>0.1421</v>
      </c>
      <c r="U25" s="146">
        <v>1.78</v>
      </c>
      <c r="V25" s="146">
        <v>12.55</v>
      </c>
    </row>
    <row r="26" spans="2:22" ht="15.9" customHeight="1" x14ac:dyDescent="0.45">
      <c r="B26" s="5" t="s">
        <v>343</v>
      </c>
      <c r="C26" s="5" t="s">
        <v>344</v>
      </c>
      <c r="D26" s="51">
        <v>0.35</v>
      </c>
      <c r="E26" s="141">
        <f>1755+6259</f>
        <v>8014</v>
      </c>
      <c r="F26" s="52">
        <f t="shared" ref="F26" si="36">E26/($E26+$G26+$I26)</f>
        <v>7.8828762366790803E-2</v>
      </c>
      <c r="G26" s="112">
        <v>0</v>
      </c>
      <c r="H26" s="52">
        <f t="shared" ref="H26" si="37">G26/($E26+$G26+$I26)</f>
        <v>0</v>
      </c>
      <c r="I26" s="112">
        <v>93649.4</v>
      </c>
      <c r="J26" s="52">
        <f t="shared" ref="J26" si="38">I26/($I26+$G26+$E26)</f>
        <v>0.92117123763320918</v>
      </c>
      <c r="K26" s="114">
        <v>0.25</v>
      </c>
      <c r="L26" s="53">
        <f t="shared" ref="L26" si="39">D26/(1+(E26/I26)*(1-K26)+G26/I26)</f>
        <v>0.32889145985496676</v>
      </c>
      <c r="M26" s="125"/>
      <c r="N26" s="261">
        <v>130800</v>
      </c>
      <c r="O26" s="301">
        <f>N26/P26</f>
        <v>2.4308652988403212</v>
      </c>
      <c r="P26" s="265">
        <v>53808</v>
      </c>
      <c r="Q26" s="99">
        <v>0.152</v>
      </c>
      <c r="R26" s="12">
        <f>1222/P26</f>
        <v>2.2710377639012787E-2</v>
      </c>
      <c r="S26" s="12">
        <f>(60213.9/52555)^(1/3)-1</f>
        <v>4.6391586013194042E-2</v>
      </c>
      <c r="T26" s="99">
        <v>0.122</v>
      </c>
      <c r="U26" s="146">
        <v>1.81</v>
      </c>
      <c r="V26" s="146">
        <v>14.81</v>
      </c>
    </row>
    <row r="27" spans="2:22" ht="15.9" customHeight="1" x14ac:dyDescent="0.45">
      <c r="B27" s="5" t="s">
        <v>345</v>
      </c>
      <c r="C27" s="5" t="s">
        <v>346</v>
      </c>
      <c r="D27" s="51">
        <v>-0.11</v>
      </c>
      <c r="E27" s="141">
        <f>758+14411</f>
        <v>15169</v>
      </c>
      <c r="F27" s="52">
        <f t="shared" ref="F27" si="40">E27/($E27+$G27+$I27)</f>
        <v>0.15928737041952989</v>
      </c>
      <c r="G27" s="112">
        <v>0</v>
      </c>
      <c r="H27" s="52">
        <f t="shared" ref="H27" si="41">G27/($E27+$G27+$I27)</f>
        <v>0</v>
      </c>
      <c r="I27" s="112">
        <v>80061.399999999994</v>
      </c>
      <c r="J27" s="52">
        <f t="shared" ref="J27" si="42">I27/($I27+$G27+$E27)</f>
        <v>0.84071262958047011</v>
      </c>
      <c r="K27" s="114">
        <v>0.25</v>
      </c>
      <c r="L27" s="53">
        <f t="shared" ref="L27" si="43">D27/(1+(E27/I27)*(1-K27)+G27/I27)</f>
        <v>-9.6313781501484896E-2</v>
      </c>
      <c r="M27" s="125"/>
      <c r="N27" s="261">
        <v>95600</v>
      </c>
      <c r="O27" s="301">
        <f>N27/P27</f>
        <v>2.2564731984799491</v>
      </c>
      <c r="P27" s="265">
        <v>42367</v>
      </c>
      <c r="Q27" s="99">
        <v>0.20499999999999999</v>
      </c>
      <c r="R27" s="12">
        <f>1361/P27</f>
        <v>3.2124058819364129E-2</v>
      </c>
      <c r="S27" s="12">
        <f>(49626.64/41954)^(1/3)-1</f>
        <v>5.7581469599421675E-2</v>
      </c>
      <c r="T27" s="99">
        <v>0.14130000000000001</v>
      </c>
      <c r="U27" s="146">
        <v>2.16</v>
      </c>
      <c r="V27" s="146">
        <v>15.3</v>
      </c>
    </row>
    <row r="28" spans="2:22" ht="15.9" customHeight="1" x14ac:dyDescent="0.45"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</row>
    <row r="29" spans="2:22" ht="15.9" customHeight="1" x14ac:dyDescent="0.45">
      <c r="B29" s="54" t="s">
        <v>46</v>
      </c>
      <c r="C29" s="55"/>
      <c r="D29" s="56">
        <f t="shared" ref="D29:L29" si="44">MEDIAN(D23:D27)</f>
        <v>0.3</v>
      </c>
      <c r="E29" s="113">
        <f t="shared" si="44"/>
        <v>20697</v>
      </c>
      <c r="F29" s="57">
        <f t="shared" si="44"/>
        <v>0.14473477179990141</v>
      </c>
      <c r="G29" s="113">
        <f t="shared" si="44"/>
        <v>0</v>
      </c>
      <c r="H29" s="57">
        <f t="shared" si="44"/>
        <v>0</v>
      </c>
      <c r="I29" s="113">
        <f t="shared" si="44"/>
        <v>122302.5</v>
      </c>
      <c r="J29" s="57">
        <f t="shared" si="44"/>
        <v>0.85526522820009865</v>
      </c>
      <c r="K29" s="57">
        <f t="shared" si="44"/>
        <v>0.25</v>
      </c>
      <c r="L29" s="58">
        <f t="shared" si="44"/>
        <v>0.2688760874171518</v>
      </c>
      <c r="N29" s="299">
        <f t="shared" ref="N29:V29" si="45">MEDIAN(N23:N27)</f>
        <v>186400</v>
      </c>
      <c r="O29" s="298">
        <f t="shared" si="45"/>
        <v>2.4818256863632731</v>
      </c>
      <c r="P29" s="113">
        <f t="shared" si="45"/>
        <v>75106</v>
      </c>
      <c r="Q29" s="57">
        <f t="shared" si="45"/>
        <v>0.152</v>
      </c>
      <c r="R29" s="152">
        <f t="shared" si="45"/>
        <v>2.9433569760879907E-2</v>
      </c>
      <c r="S29" s="153">
        <f t="shared" si="45"/>
        <v>5.7581469599421675E-2</v>
      </c>
      <c r="T29" s="57">
        <f t="shared" si="45"/>
        <v>0.14130000000000001</v>
      </c>
      <c r="U29" s="154">
        <f t="shared" si="45"/>
        <v>2.16</v>
      </c>
      <c r="V29" s="155">
        <f t="shared" si="45"/>
        <v>15.3</v>
      </c>
    </row>
    <row r="30" spans="2:22" ht="15.9" customHeight="1" x14ac:dyDescent="0.45"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</row>
  </sheetData>
  <pageMargins left="0.7" right="0.7" top="0.75" bottom="0.75" header="0.3" footer="0.3"/>
  <pageSetup scale="30" orientation="portrait" horizontalDpi="1200" verticalDpi="120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7E91D2-903A-4B77-91CD-990BE4F6A814}">
  <sheetPr>
    <pageSetUpPr autoPageBreaks="0"/>
  </sheetPr>
  <dimension ref="B2:S74"/>
  <sheetViews>
    <sheetView showGridLines="0" zoomScaleNormal="100" workbookViewId="0">
      <selection activeCell="B2" sqref="B2"/>
    </sheetView>
  </sheetViews>
  <sheetFormatPr defaultColWidth="9.15234375" defaultRowHeight="15.9" customHeight="1" x14ac:dyDescent="0.4"/>
  <cols>
    <col min="1" max="1" width="2.53515625" customWidth="1"/>
    <col min="2" max="2" width="35.07421875" bestFit="1" customWidth="1"/>
    <col min="3" max="3" width="15.765625" bestFit="1" customWidth="1"/>
    <col min="4" max="12" width="12.69140625" customWidth="1"/>
    <col min="13" max="13" width="2.53515625" customWidth="1"/>
    <col min="14" max="22" width="12.69140625" customWidth="1"/>
    <col min="23" max="23" width="2.69140625" customWidth="1"/>
  </cols>
  <sheetData>
    <row r="2" spans="2:19" ht="15.9" customHeight="1" x14ac:dyDescent="0.5">
      <c r="B2" s="39" t="str">
        <f>"WACC Analysis by Division"</f>
        <v>WACC Analysis by Division</v>
      </c>
      <c r="C2" s="40"/>
    </row>
    <row r="3" spans="2:19" ht="15.9" customHeight="1" x14ac:dyDescent="0.45">
      <c r="B3" s="5" t="str">
        <f>STLK!$B$3</f>
        <v>($ in Millions USD Except Per Share Data)</v>
      </c>
      <c r="C3" s="6"/>
      <c r="D3" s="6"/>
      <c r="E3" s="6"/>
      <c r="F3" s="6"/>
      <c r="G3" s="6"/>
      <c r="H3" s="6"/>
      <c r="I3" s="6"/>
      <c r="J3" s="6"/>
      <c r="K3" s="6"/>
      <c r="L3" s="6"/>
    </row>
    <row r="4" spans="2:19" ht="15.9" customHeight="1" x14ac:dyDescent="0.45">
      <c r="B4" s="6"/>
      <c r="C4" s="6"/>
      <c r="D4" s="6"/>
      <c r="E4" s="6"/>
      <c r="F4" s="6"/>
      <c r="G4" s="6"/>
      <c r="H4" s="6"/>
      <c r="I4" s="6"/>
      <c r="J4" s="6"/>
      <c r="K4" s="6"/>
      <c r="L4" s="6"/>
      <c r="S4" s="41"/>
    </row>
    <row r="5" spans="2:19" ht="15.9" customHeight="1" x14ac:dyDescent="0.45">
      <c r="B5" s="42" t="s">
        <v>203</v>
      </c>
      <c r="C5" s="42"/>
      <c r="D5" s="43"/>
      <c r="E5" s="43"/>
      <c r="F5" s="43"/>
      <c r="G5" s="44"/>
    </row>
    <row r="6" spans="2:19" ht="15.9" customHeight="1" x14ac:dyDescent="0.45">
      <c r="B6" s="14" t="s">
        <v>28</v>
      </c>
      <c r="C6" s="5"/>
      <c r="D6" s="6"/>
      <c r="E6" s="6"/>
      <c r="F6" s="45">
        <v>5.074E-2</v>
      </c>
      <c r="G6" s="46"/>
    </row>
    <row r="7" spans="2:19" ht="15.9" customHeight="1" x14ac:dyDescent="0.45">
      <c r="B7" s="14" t="s">
        <v>29</v>
      </c>
      <c r="C7" s="5"/>
      <c r="D7" s="6"/>
      <c r="E7" s="6"/>
      <c r="F7" s="45">
        <v>0.05</v>
      </c>
      <c r="G7" s="46"/>
    </row>
    <row r="8" spans="2:19" ht="15.9" customHeight="1" x14ac:dyDescent="0.45">
      <c r="B8" s="14" t="s">
        <v>30</v>
      </c>
      <c r="C8" s="5"/>
      <c r="D8" s="6"/>
      <c r="E8" s="6"/>
      <c r="F8" s="117">
        <f>SUMPRODUCT(E16:E19,F16:F19)/SUM(F16:F19)</f>
        <v>6.5864513250034326E-2</v>
      </c>
      <c r="G8" s="46"/>
    </row>
    <row r="9" spans="2:19" ht="15.9" customHeight="1" x14ac:dyDescent="0.45">
      <c r="B9" s="14" t="s">
        <v>31</v>
      </c>
      <c r="C9" s="5"/>
      <c r="D9" s="6"/>
      <c r="E9" s="6"/>
      <c r="F9" s="45">
        <v>0.09</v>
      </c>
      <c r="G9" s="46"/>
    </row>
    <row r="10" spans="2:19" ht="15.9" customHeight="1" x14ac:dyDescent="0.45">
      <c r="B10" s="6"/>
      <c r="C10" s="6"/>
      <c r="D10" s="6"/>
      <c r="E10" s="6"/>
      <c r="F10" s="6"/>
      <c r="G10" s="6"/>
    </row>
    <row r="11" spans="2:19" ht="15.9" customHeight="1" x14ac:dyDescent="0.45">
      <c r="B11" s="14" t="str">
        <f>Div_1&amp;" - Risk Premium:"</f>
        <v>Starlink - Risk Premium:</v>
      </c>
      <c r="C11" s="6"/>
      <c r="D11" s="6"/>
      <c r="E11" s="6"/>
      <c r="F11" s="45">
        <v>0.02</v>
      </c>
      <c r="G11" s="6"/>
    </row>
    <row r="12" spans="2:19" ht="15.9" customHeight="1" x14ac:dyDescent="0.45">
      <c r="B12" s="14" t="str">
        <f>Div_2&amp;" - Risk Premium:"</f>
        <v>AI - Risk Premium:</v>
      </c>
      <c r="C12" s="6"/>
      <c r="D12" s="6"/>
      <c r="E12" s="6"/>
      <c r="F12" s="45">
        <v>0.05</v>
      </c>
      <c r="G12" s="6"/>
    </row>
    <row r="13" spans="2:19" ht="15.9" customHeight="1" x14ac:dyDescent="0.45">
      <c r="B13" s="14" t="str">
        <f>Div_3&amp;" - Risk Premium:"</f>
        <v>Space - Risk Premium:</v>
      </c>
      <c r="C13" s="6"/>
      <c r="D13" s="6"/>
      <c r="E13" s="6"/>
      <c r="F13" s="45">
        <v>0.02</v>
      </c>
      <c r="G13" s="6"/>
    </row>
    <row r="14" spans="2:19" ht="15.9" customHeight="1" x14ac:dyDescent="0.45">
      <c r="B14" s="6"/>
      <c r="C14" s="6"/>
      <c r="D14" s="6"/>
      <c r="E14" s="6"/>
      <c r="F14" s="6"/>
      <c r="G14" s="6"/>
    </row>
    <row r="15" spans="2:19" ht="15.9" customHeight="1" x14ac:dyDescent="0.45">
      <c r="B15" s="42" t="s">
        <v>204</v>
      </c>
      <c r="C15" s="42"/>
      <c r="D15" s="42"/>
      <c r="E15" s="159" t="s">
        <v>153</v>
      </c>
      <c r="F15" s="159" t="s">
        <v>154</v>
      </c>
      <c r="G15" s="159" t="s">
        <v>155</v>
      </c>
    </row>
    <row r="16" spans="2:19" ht="15.9" customHeight="1" x14ac:dyDescent="0.45">
      <c r="B16" s="156" t="s">
        <v>148</v>
      </c>
      <c r="E16" s="114">
        <v>4.58E-2</v>
      </c>
      <c r="F16" s="111">
        <v>20000</v>
      </c>
      <c r="G16" s="142">
        <f>F16</f>
        <v>20000</v>
      </c>
    </row>
    <row r="17" spans="2:12" ht="15.9" customHeight="1" x14ac:dyDescent="0.45">
      <c r="B17" s="156" t="s">
        <v>149</v>
      </c>
      <c r="E17" s="114">
        <v>4.4999999999999998E-2</v>
      </c>
      <c r="F17" s="112">
        <v>27</v>
      </c>
      <c r="G17" s="141">
        <f>F17</f>
        <v>27</v>
      </c>
      <c r="H17" s="6"/>
      <c r="I17" s="6"/>
      <c r="J17" s="6"/>
      <c r="K17" s="6"/>
      <c r="L17" s="6"/>
    </row>
    <row r="18" spans="2:12" ht="15.9" customHeight="1" x14ac:dyDescent="0.45">
      <c r="B18" s="156" t="s">
        <v>150</v>
      </c>
      <c r="E18" s="114">
        <v>0.11</v>
      </c>
      <c r="F18" s="112">
        <v>9105</v>
      </c>
      <c r="G18" s="141">
        <f>6190+1057+3173</f>
        <v>10420</v>
      </c>
      <c r="H18" s="6"/>
      <c r="I18" s="6"/>
      <c r="J18" s="6"/>
      <c r="K18" s="6"/>
      <c r="L18" s="6"/>
    </row>
    <row r="19" spans="2:12" ht="15.9" customHeight="1" x14ac:dyDescent="0.45">
      <c r="B19" s="156" t="s">
        <v>151</v>
      </c>
      <c r="E19" s="114">
        <v>0.05</v>
      </c>
      <c r="F19" s="112">
        <v>0</v>
      </c>
      <c r="G19" s="141">
        <f>F19</f>
        <v>0</v>
      </c>
      <c r="H19" s="6"/>
      <c r="I19" s="6"/>
      <c r="J19" s="6"/>
      <c r="K19" s="6"/>
      <c r="L19" s="6"/>
    </row>
    <row r="20" spans="2:12" ht="15.9" customHeight="1" x14ac:dyDescent="0.45">
      <c r="B20" s="130" t="s">
        <v>152</v>
      </c>
      <c r="C20" s="158"/>
      <c r="D20" s="158"/>
      <c r="E20" s="158"/>
      <c r="F20" s="160">
        <f>SUM(F16:F19)</f>
        <v>29132</v>
      </c>
      <c r="G20" s="160">
        <f>SUM(G16:G19)</f>
        <v>30447</v>
      </c>
      <c r="H20" s="6"/>
      <c r="I20" s="6"/>
      <c r="J20" s="6"/>
      <c r="K20" s="6"/>
      <c r="L20" s="6"/>
    </row>
    <row r="21" spans="2:12" ht="15.9" customHeight="1" x14ac:dyDescent="0.45"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</row>
    <row r="22" spans="2:12" ht="15.9" customHeight="1" x14ac:dyDescent="0.45">
      <c r="B22" s="47" t="str">
        <f>TEXT(Div_1,"")&amp; " - Levered Beta &amp; WACC Calculation for Companies by Maturity and Industry:"</f>
        <v>Starlink - Levered Beta &amp; WACC Calculation for Companies by Maturity and Industry:</v>
      </c>
      <c r="C22" s="47"/>
      <c r="D22" s="47"/>
      <c r="E22" s="47"/>
      <c r="F22" s="47"/>
      <c r="G22" s="47"/>
      <c r="H22" s="47"/>
    </row>
    <row r="23" spans="2:12" ht="15.9" customHeight="1" x14ac:dyDescent="0.45">
      <c r="B23" s="47"/>
      <c r="C23" s="48" t="s">
        <v>35</v>
      </c>
      <c r="D23" s="48"/>
      <c r="E23" s="48"/>
      <c r="F23" s="48"/>
      <c r="G23" s="48"/>
      <c r="H23" s="48" t="s">
        <v>32</v>
      </c>
    </row>
    <row r="24" spans="2:12" ht="15.9" customHeight="1" x14ac:dyDescent="0.45">
      <c r="B24" s="49"/>
      <c r="C24" s="50" t="s">
        <v>38</v>
      </c>
      <c r="D24" s="50" t="s">
        <v>40</v>
      </c>
      <c r="E24" s="50" t="s">
        <v>42</v>
      </c>
      <c r="F24" s="50" t="s">
        <v>44</v>
      </c>
      <c r="G24" s="50" t="s">
        <v>45</v>
      </c>
      <c r="H24" s="50" t="s">
        <v>38</v>
      </c>
    </row>
    <row r="25" spans="2:12" ht="15.9" customHeight="1" x14ac:dyDescent="0.45">
      <c r="B25" s="19" t="s">
        <v>170</v>
      </c>
      <c r="C25" s="269">
        <f>STLK_Comps!L17</f>
        <v>0.76538992134486339</v>
      </c>
      <c r="D25" s="271">
        <f>STLK_Comps!F17</f>
        <v>0.34021573809019345</v>
      </c>
      <c r="E25" s="271">
        <f>STLK_Comps!H17</f>
        <v>0</v>
      </c>
      <c r="F25" s="271">
        <f>STLK_Comps!J17</f>
        <v>0.65978426190980644</v>
      </c>
      <c r="G25" s="61">
        <f>Tax_Rate</f>
        <v>0.25</v>
      </c>
      <c r="H25" s="62">
        <f>C25*(1+(D25/F25)*(1-G25)+(E25/F25))</f>
        <v>1.0613931515485431</v>
      </c>
    </row>
    <row r="26" spans="2:12" ht="15.9" customHeight="1" x14ac:dyDescent="0.45">
      <c r="B26" s="5" t="s">
        <v>171</v>
      </c>
      <c r="C26" s="270">
        <f>STLK_Comps!L31</f>
        <v>0.69657311973952596</v>
      </c>
      <c r="D26" s="272">
        <f>STLK_Comps!F31</f>
        <v>0.26589334400815123</v>
      </c>
      <c r="E26" s="272">
        <f>STLK_Comps!H31</f>
        <v>0</v>
      </c>
      <c r="F26" s="272">
        <f>STLK_Comps!J31</f>
        <v>0.73410665599184877</v>
      </c>
      <c r="G26" s="63">
        <f>Tax_Rate</f>
        <v>0.25</v>
      </c>
      <c r="H26" s="64">
        <f>C26*(1+(D26/F26)*(1-G26)+(E26/F26))</f>
        <v>0.88579714595083725</v>
      </c>
    </row>
    <row r="27" spans="2:12" ht="15.9" customHeight="1" x14ac:dyDescent="0.45">
      <c r="B27" s="5" t="s">
        <v>172</v>
      </c>
      <c r="C27" s="270">
        <f>STLK_Comps!L45</f>
        <v>0.23576239770044544</v>
      </c>
      <c r="D27" s="272">
        <f>STLK_Comps!F45</f>
        <v>0.30883278667750869</v>
      </c>
      <c r="E27" s="272">
        <f>STLK_Comps!H45</f>
        <v>0</v>
      </c>
      <c r="F27" s="272">
        <f>STLK_Comps!J45</f>
        <v>0.6911672133224912</v>
      </c>
      <c r="G27" s="63">
        <f>Tax_Rate</f>
        <v>0.25</v>
      </c>
      <c r="H27" s="64">
        <f>C27*(1+(D27/F27)*(1-G27)+(E27/F27))</f>
        <v>0.31477130850249763</v>
      </c>
    </row>
    <row r="28" spans="2:12" ht="15.9" customHeight="1" x14ac:dyDescent="0.45">
      <c r="B28" s="6"/>
      <c r="C28" s="6"/>
      <c r="D28" s="6"/>
      <c r="E28" s="6"/>
      <c r="F28" s="6"/>
      <c r="G28" s="6"/>
      <c r="H28" s="6"/>
    </row>
    <row r="29" spans="2:12" ht="15.9" customHeight="1" x14ac:dyDescent="0.45">
      <c r="B29" s="65" t="str">
        <f>"Cost of Equity - "&amp;$B$25</f>
        <v>Cost of Equity - Satellite Companies:</v>
      </c>
      <c r="C29" s="66"/>
      <c r="D29" s="66"/>
      <c r="E29" s="66"/>
      <c r="F29" s="66"/>
      <c r="G29" s="66"/>
      <c r="H29" s="67">
        <f>Risk_Free_Rate+Equity_Risk_Premium*H25+$F$11</f>
        <v>0.12380965757742717</v>
      </c>
    </row>
    <row r="30" spans="2:12" ht="15.9" customHeight="1" x14ac:dyDescent="0.45">
      <c r="B30" s="68" t="str">
        <f>"Cost of Equity - "&amp;$B$26</f>
        <v>Cost of Equity - High-Growth Telecoms:</v>
      </c>
      <c r="C30" s="69"/>
      <c r="D30" s="69"/>
      <c r="E30" s="69"/>
      <c r="F30" s="69"/>
      <c r="G30" s="69"/>
      <c r="H30" s="70">
        <f>Risk_Free_Rate+Equity_Risk_Premium*H26+$F$11</f>
        <v>0.11502985729754188</v>
      </c>
    </row>
    <row r="31" spans="2:12" ht="15.9" customHeight="1" x14ac:dyDescent="0.45">
      <c r="B31" s="68" t="str">
        <f>"Cost of Equity - "&amp;$B$27</f>
        <v>Cost of Equity - Mature Telecoms:</v>
      </c>
      <c r="C31" s="69"/>
      <c r="D31" s="69"/>
      <c r="E31" s="69"/>
      <c r="F31" s="69"/>
      <c r="G31" s="69"/>
      <c r="H31" s="70">
        <f>Risk_Free_Rate+Equity_Risk_Premium*H27+$F$11</f>
        <v>8.6478565425124887E-2</v>
      </c>
    </row>
    <row r="32" spans="2:12" ht="15.9" customHeight="1" x14ac:dyDescent="0.45">
      <c r="B32" s="19"/>
      <c r="C32" s="19"/>
      <c r="D32" s="19"/>
      <c r="E32" s="19"/>
      <c r="F32" s="19"/>
      <c r="G32" s="19"/>
      <c r="H32" s="19"/>
    </row>
    <row r="33" spans="2:8" ht="15.9" customHeight="1" x14ac:dyDescent="0.45">
      <c r="B33" s="5" t="s">
        <v>47</v>
      </c>
      <c r="C33" s="5"/>
      <c r="D33" s="5"/>
      <c r="E33" s="5"/>
      <c r="F33" s="5"/>
      <c r="G33" s="5"/>
      <c r="H33" s="5"/>
    </row>
    <row r="34" spans="2:8" ht="15.9" customHeight="1" x14ac:dyDescent="0.45">
      <c r="B34" s="16"/>
      <c r="C34" s="16"/>
      <c r="D34" s="16"/>
      <c r="E34" s="16"/>
      <c r="F34" s="16"/>
      <c r="G34" s="16"/>
      <c r="H34" s="16"/>
    </row>
    <row r="35" spans="2:8" ht="15.9" customHeight="1" x14ac:dyDescent="0.45">
      <c r="B35" s="65" t="str">
        <f>"WACC - "&amp;$B$25</f>
        <v>WACC - Satellite Companies:</v>
      </c>
      <c r="C35" s="66"/>
      <c r="D35" s="66"/>
      <c r="E35" s="66"/>
      <c r="F35" s="66"/>
      <c r="G35" s="66"/>
      <c r="H35" s="71">
        <f>H29*F25+Cost_of_Debt*(1-G25)*D25+Cost_of_Preferred*E25</f>
        <v>9.8493771534012467E-2</v>
      </c>
    </row>
    <row r="36" spans="2:8" ht="15.9" customHeight="1" x14ac:dyDescent="0.45">
      <c r="B36" s="68" t="str">
        <f>"WACC - "&amp;$B$26</f>
        <v>WACC - High-Growth Telecoms:</v>
      </c>
      <c r="C36" s="69"/>
      <c r="D36" s="69"/>
      <c r="E36" s="69"/>
      <c r="F36" s="69"/>
      <c r="G36" s="69"/>
      <c r="H36" s="72">
        <f>H30*F26+Cost_of_Debt*(1-G26)*D26+Cost_of_Preferred*E26</f>
        <v>9.7578885639558646E-2</v>
      </c>
    </row>
    <row r="37" spans="2:8" ht="15.9" customHeight="1" x14ac:dyDescent="0.45">
      <c r="B37" s="68" t="str">
        <f>"WACC - "&amp;$B$27</f>
        <v>WACC - Mature Telecoms:</v>
      </c>
      <c r="C37" s="69"/>
      <c r="D37" s="69"/>
      <c r="E37" s="69"/>
      <c r="F37" s="69"/>
      <c r="G37" s="69"/>
      <c r="H37" s="72">
        <f>H31*F27+Cost_of_Debt*(1-G27)*D27+Cost_of_Preferred*E27</f>
        <v>7.5026989954634651E-2</v>
      </c>
    </row>
    <row r="38" spans="2:8" ht="15.9" customHeight="1" x14ac:dyDescent="0.45">
      <c r="B38" s="6"/>
      <c r="C38" s="6"/>
      <c r="D38" s="6"/>
      <c r="E38" s="6"/>
      <c r="F38" s="6"/>
      <c r="G38" s="6"/>
      <c r="H38" s="6"/>
    </row>
    <row r="39" spans="2:8" ht="15.9" customHeight="1" x14ac:dyDescent="0.45">
      <c r="B39" s="59" t="s">
        <v>48</v>
      </c>
      <c r="C39" s="60"/>
      <c r="D39" s="60"/>
      <c r="E39" s="60"/>
      <c r="F39" s="60"/>
      <c r="G39" s="60"/>
      <c r="H39" s="73">
        <f>AVERAGE(H35:H37)</f>
        <v>9.0366549042735264E-2</v>
      </c>
    </row>
    <row r="41" spans="2:8" ht="15.9" customHeight="1" x14ac:dyDescent="0.45">
      <c r="B41" s="47" t="str">
        <f>TEXT(Div_2,"")&amp; " - Levered Beta &amp; WACC Calculation for Companies by Maturity and Industry:"</f>
        <v>AI - Levered Beta &amp; WACC Calculation for Companies by Maturity and Industry:</v>
      </c>
      <c r="C41" s="47"/>
      <c r="D41" s="47"/>
      <c r="E41" s="47"/>
      <c r="F41" s="47"/>
      <c r="G41" s="47"/>
      <c r="H41" s="47"/>
    </row>
    <row r="42" spans="2:8" ht="15.9" customHeight="1" x14ac:dyDescent="0.45">
      <c r="B42" s="47"/>
      <c r="C42" s="48" t="s">
        <v>35</v>
      </c>
      <c r="D42" s="48"/>
      <c r="E42" s="48"/>
      <c r="F42" s="48"/>
      <c r="G42" s="48"/>
      <c r="H42" s="48" t="s">
        <v>32</v>
      </c>
    </row>
    <row r="43" spans="2:8" ht="15.9" customHeight="1" x14ac:dyDescent="0.45">
      <c r="B43" s="49"/>
      <c r="C43" s="50" t="s">
        <v>38</v>
      </c>
      <c r="D43" s="50" t="s">
        <v>40</v>
      </c>
      <c r="E43" s="50" t="s">
        <v>42</v>
      </c>
      <c r="F43" s="50" t="s">
        <v>44</v>
      </c>
      <c r="G43" s="50" t="s">
        <v>45</v>
      </c>
      <c r="H43" s="50" t="s">
        <v>38</v>
      </c>
    </row>
    <row r="44" spans="2:8" ht="15.9" customHeight="1" x14ac:dyDescent="0.45">
      <c r="B44" s="19" t="s">
        <v>275</v>
      </c>
      <c r="C44" s="269">
        <f>AI_Comps!L11</f>
        <v>1.1855914679950814</v>
      </c>
      <c r="D44" s="271">
        <f>AI_Comps!F11</f>
        <v>0.20937889466418902</v>
      </c>
      <c r="E44" s="271">
        <f>AI_Comps!H11</f>
        <v>0</v>
      </c>
      <c r="F44" s="271">
        <f>AI_Comps!J11</f>
        <v>0.79062110533581098</v>
      </c>
      <c r="G44" s="61">
        <f>Tax_Rate</f>
        <v>0.25</v>
      </c>
      <c r="H44" s="62">
        <f>C44*(1+(D44/F44)*(1-G44)+(E44/F44))</f>
        <v>1.4210751555194607</v>
      </c>
    </row>
    <row r="45" spans="2:8" ht="15.9" customHeight="1" x14ac:dyDescent="0.45">
      <c r="B45" s="5" t="s">
        <v>286</v>
      </c>
      <c r="C45" s="270">
        <f>AI_Comps!L22</f>
        <v>3.492627384319722</v>
      </c>
      <c r="D45" s="272">
        <f>AI_Comps!F22</f>
        <v>0.16552888750094516</v>
      </c>
      <c r="E45" s="272">
        <f>AI_Comps!H22</f>
        <v>0</v>
      </c>
      <c r="F45" s="272">
        <f>AI_Comps!J22</f>
        <v>0.83058596293001752</v>
      </c>
      <c r="G45" s="63">
        <f>Tax_Rate</f>
        <v>0.25</v>
      </c>
      <c r="H45" s="64">
        <f>C45*(1+(D45/F45)*(1-G45)+(E45/F45))</f>
        <v>4.0146661176818315</v>
      </c>
    </row>
    <row r="46" spans="2:8" ht="15.9" customHeight="1" x14ac:dyDescent="0.45">
      <c r="B46" s="5" t="s">
        <v>276</v>
      </c>
      <c r="C46" s="270">
        <f>AI_Comps!L32</f>
        <v>1.0185519323199992</v>
      </c>
      <c r="D46" s="272">
        <f>AI_Comps!F32</f>
        <v>0.17614295834958216</v>
      </c>
      <c r="E46" s="272">
        <f>AI_Comps!H32</f>
        <v>0</v>
      </c>
      <c r="F46" s="272">
        <f>AI_Comps!J32</f>
        <v>0.82385704165041784</v>
      </c>
      <c r="G46" s="63">
        <f>Tax_Rate</f>
        <v>0.25</v>
      </c>
      <c r="H46" s="64">
        <f>C46*(1+(D46/F46)*(1-G46)+(E46/F46))</f>
        <v>1.1818788885041551</v>
      </c>
    </row>
    <row r="47" spans="2:8" ht="15.9" customHeight="1" x14ac:dyDescent="0.45">
      <c r="B47" s="6"/>
      <c r="C47" s="6"/>
      <c r="D47" s="6"/>
      <c r="E47" s="6"/>
      <c r="F47" s="6"/>
      <c r="G47" s="6"/>
      <c r="H47" s="6"/>
    </row>
    <row r="48" spans="2:8" ht="15.9" customHeight="1" x14ac:dyDescent="0.45">
      <c r="B48" s="65" t="str">
        <f>"Cost of Equity - "&amp;$B$44</f>
        <v>Cost of Equity - GPU-First Neoclouds:</v>
      </c>
      <c r="C48" s="66"/>
      <c r="D48" s="66"/>
      <c r="E48" s="66"/>
      <c r="F48" s="66"/>
      <c r="G48" s="66"/>
      <c r="H48" s="67">
        <f>Risk_Free_Rate+Equity_Risk_Premium*H44+$F$12</f>
        <v>0.17179375777597305</v>
      </c>
    </row>
    <row r="49" spans="2:8" ht="15.9" customHeight="1" x14ac:dyDescent="0.45">
      <c r="B49" s="68" t="str">
        <f>"Cost of Equity - "&amp;$B$45</f>
        <v>Cost of Equity - Infrastructure-First Hosting (No GPUs):</v>
      </c>
      <c r="C49" s="69"/>
      <c r="D49" s="69"/>
      <c r="E49" s="69"/>
      <c r="F49" s="69"/>
      <c r="G49" s="69"/>
      <c r="H49" s="70">
        <f>Risk_Free_Rate+Equity_Risk_Premium*H45+$F$12</f>
        <v>0.30147330588409155</v>
      </c>
    </row>
    <row r="50" spans="2:8" ht="15.9" customHeight="1" x14ac:dyDescent="0.45">
      <c r="B50" s="68" t="str">
        <f>"Cost of Equity - "&amp;$B$46</f>
        <v>Cost of Equity - Social Media Companies:</v>
      </c>
      <c r="C50" s="69"/>
      <c r="D50" s="69"/>
      <c r="E50" s="69"/>
      <c r="F50" s="69"/>
      <c r="G50" s="69"/>
      <c r="H50" s="70">
        <f>Risk_Free_Rate+Equity_Risk_Premium*H46+$F$12</f>
        <v>0.15983394442520776</v>
      </c>
    </row>
    <row r="51" spans="2:8" ht="15.9" customHeight="1" x14ac:dyDescent="0.45">
      <c r="B51" s="19"/>
      <c r="C51" s="19"/>
      <c r="D51" s="19"/>
      <c r="E51" s="19"/>
      <c r="F51" s="19"/>
      <c r="G51" s="19"/>
      <c r="H51" s="19"/>
    </row>
    <row r="52" spans="2:8" ht="15.9" customHeight="1" x14ac:dyDescent="0.45">
      <c r="B52" s="5" t="s">
        <v>47</v>
      </c>
      <c r="C52" s="5"/>
      <c r="D52" s="5"/>
      <c r="E52" s="5"/>
      <c r="F52" s="5"/>
      <c r="G52" s="5"/>
      <c r="H52" s="5"/>
    </row>
    <row r="53" spans="2:8" ht="15.9" customHeight="1" x14ac:dyDescent="0.45">
      <c r="B53" s="16"/>
      <c r="C53" s="16"/>
      <c r="D53" s="16"/>
      <c r="E53" s="16"/>
      <c r="F53" s="16"/>
      <c r="G53" s="16"/>
      <c r="H53" s="16"/>
    </row>
    <row r="54" spans="2:8" ht="15.9" customHeight="1" x14ac:dyDescent="0.45">
      <c r="B54" s="65" t="str">
        <f>"WACC - "&amp;$B$44</f>
        <v>WACC - GPU-First Neoclouds:</v>
      </c>
      <c r="C54" s="66"/>
      <c r="D54" s="66"/>
      <c r="E54" s="66"/>
      <c r="F54" s="66"/>
      <c r="G54" s="66"/>
      <c r="H54" s="71">
        <f>H48*F44+Cost_of_Debt*(1-G44)*D44+Cost_of_Preferred*E44</f>
        <v>0.14616674989904763</v>
      </c>
    </row>
    <row r="55" spans="2:8" ht="15.9" customHeight="1" x14ac:dyDescent="0.45">
      <c r="B55" s="68" t="str">
        <f>"WACC - "&amp;$B$45</f>
        <v>WACC - Infrastructure-First Hosting (No GPUs):</v>
      </c>
      <c r="C55" s="69"/>
      <c r="D55" s="69"/>
      <c r="E55" s="69"/>
      <c r="F55" s="69"/>
      <c r="G55" s="69"/>
      <c r="H55" s="72">
        <f>H49*F45+Cost_of_Debt*(1-G45)*D45+Cost_of_Preferred*E45</f>
        <v>0.25857635576848598</v>
      </c>
    </row>
    <row r="56" spans="2:8" ht="15.9" customHeight="1" x14ac:dyDescent="0.45">
      <c r="B56" s="68" t="str">
        <f>"WACC - "&amp;$B$46</f>
        <v>WACC - Social Media Companies:</v>
      </c>
      <c r="C56" s="69"/>
      <c r="D56" s="69"/>
      <c r="E56" s="69"/>
      <c r="F56" s="69"/>
      <c r="G56" s="69"/>
      <c r="H56" s="72">
        <f>H50*F46+Cost_of_Debt*(1-G46)*D46+Cost_of_Preferred*E46</f>
        <v>0.14038149827005619</v>
      </c>
    </row>
    <row r="57" spans="2:8" ht="15.9" customHeight="1" x14ac:dyDescent="0.45">
      <c r="B57" s="6"/>
      <c r="C57" s="6"/>
      <c r="D57" s="6"/>
      <c r="E57" s="6"/>
      <c r="F57" s="6"/>
      <c r="G57" s="6"/>
      <c r="H57" s="6"/>
    </row>
    <row r="58" spans="2:8" ht="15.9" customHeight="1" x14ac:dyDescent="0.45">
      <c r="B58" s="59" t="s">
        <v>48</v>
      </c>
      <c r="C58" s="60"/>
      <c r="D58" s="60"/>
      <c r="E58" s="60"/>
      <c r="F58" s="60"/>
      <c r="G58" s="60"/>
      <c r="H58" s="73">
        <f>AVERAGE(H54:H56)</f>
        <v>0.18170820131252993</v>
      </c>
    </row>
    <row r="60" spans="2:8" ht="15.9" customHeight="1" x14ac:dyDescent="0.45">
      <c r="B60" s="47" t="str">
        <f>TEXT(Div_3,"")&amp; " - Levered Beta &amp; WACC Calculation for Companies by Maturity and Industry:"</f>
        <v>Space - Levered Beta &amp; WACC Calculation for Companies by Maturity and Industry:</v>
      </c>
      <c r="C60" s="47"/>
      <c r="D60" s="47"/>
      <c r="E60" s="47"/>
      <c r="F60" s="47"/>
      <c r="G60" s="47"/>
      <c r="H60" s="47"/>
    </row>
    <row r="61" spans="2:8" ht="15.9" customHeight="1" x14ac:dyDescent="0.45">
      <c r="B61" s="47"/>
      <c r="C61" s="48" t="s">
        <v>35</v>
      </c>
      <c r="D61" s="48"/>
      <c r="E61" s="48"/>
      <c r="F61" s="48"/>
      <c r="G61" s="48"/>
      <c r="H61" s="48" t="s">
        <v>32</v>
      </c>
    </row>
    <row r="62" spans="2:8" ht="15.9" customHeight="1" x14ac:dyDescent="0.45">
      <c r="B62" s="49"/>
      <c r="C62" s="50" t="s">
        <v>38</v>
      </c>
      <c r="D62" s="50" t="s">
        <v>40</v>
      </c>
      <c r="E62" s="50" t="s">
        <v>42</v>
      </c>
      <c r="F62" s="50" t="s">
        <v>44</v>
      </c>
      <c r="G62" s="50" t="s">
        <v>45</v>
      </c>
      <c r="H62" s="50" t="s">
        <v>38</v>
      </c>
    </row>
    <row r="63" spans="2:8" ht="15.9" customHeight="1" x14ac:dyDescent="0.45">
      <c r="B63" s="19" t="s">
        <v>357</v>
      </c>
      <c r="C63" s="269">
        <f>SPC_Comps!L18</f>
        <v>1.4149781038082743</v>
      </c>
      <c r="D63" s="271">
        <f>SPC_Comps!F18</f>
        <v>3.3754234115788803E-2</v>
      </c>
      <c r="E63" s="271">
        <f>SPC_Comps!H18</f>
        <v>0</v>
      </c>
      <c r="F63" s="271">
        <f>SPC_Comps!J18</f>
        <v>0.96624576588421118</v>
      </c>
      <c r="G63" s="61">
        <f>Tax_Rate</f>
        <v>0.25</v>
      </c>
      <c r="H63" s="62">
        <f>C63*(1+(D63/F63)*(1-G63)+(E63/F63))</f>
        <v>1.4520505836092228</v>
      </c>
    </row>
    <row r="64" spans="2:8" ht="15.9" customHeight="1" x14ac:dyDescent="0.45">
      <c r="B64" s="5" t="s">
        <v>333</v>
      </c>
      <c r="C64" s="270">
        <f>SPC_Comps!L29</f>
        <v>0.2688760874171518</v>
      </c>
      <c r="D64" s="272">
        <f>SPC_Comps!F29</f>
        <v>0.14473477179990141</v>
      </c>
      <c r="E64" s="272">
        <f>SPC_Comps!H29</f>
        <v>0</v>
      </c>
      <c r="F64" s="272">
        <f>SPC_Comps!J29</f>
        <v>0.85526522820009865</v>
      </c>
      <c r="G64" s="63">
        <f>Tax_Rate</f>
        <v>0.25</v>
      </c>
      <c r="H64" s="64">
        <f>C64*(1+(D64/F64)*(1-G64)+(E64/F64))</f>
        <v>0.30300209699140085</v>
      </c>
    </row>
    <row r="65" spans="2:8" ht="15.9" customHeight="1" x14ac:dyDescent="0.45">
      <c r="B65" s="6"/>
      <c r="C65" s="6"/>
      <c r="D65" s="6"/>
      <c r="E65" s="6"/>
      <c r="F65" s="6"/>
      <c r="G65" s="6"/>
      <c r="H65" s="6"/>
    </row>
    <row r="66" spans="2:8" ht="15.9" customHeight="1" x14ac:dyDescent="0.45">
      <c r="B66" s="65" t="str">
        <f>"Cost of Equity - "&amp;$B$63</f>
        <v>Cost of Equity - Smaller-Scale Rocket/Space Tech:</v>
      </c>
      <c r="C66" s="66"/>
      <c r="D66" s="66"/>
      <c r="E66" s="66"/>
      <c r="F66" s="66"/>
      <c r="G66" s="66"/>
      <c r="H66" s="67">
        <f>Risk_Free_Rate+Equity_Risk_Premium*H63+$F$13</f>
        <v>0.14334252918046114</v>
      </c>
    </row>
    <row r="67" spans="2:8" ht="15.9" customHeight="1" x14ac:dyDescent="0.45">
      <c r="B67" s="68" t="str">
        <f>"Cost of Equity - "&amp;$B$64</f>
        <v>Cost of Equity - "Big 5" U.S. Defense Contractors:</v>
      </c>
      <c r="C67" s="69"/>
      <c r="D67" s="69"/>
      <c r="E67" s="69"/>
      <c r="F67" s="69"/>
      <c r="G67" s="69"/>
      <c r="H67" s="70">
        <f>Risk_Free_Rate+Equity_Risk_Premium*H64+$F$13</f>
        <v>8.5890104849570048E-2</v>
      </c>
    </row>
    <row r="68" spans="2:8" ht="15.9" customHeight="1" x14ac:dyDescent="0.45">
      <c r="B68" s="19"/>
      <c r="C68" s="19"/>
      <c r="D68" s="19"/>
      <c r="E68" s="19"/>
      <c r="F68" s="19"/>
      <c r="G68" s="19"/>
      <c r="H68" s="19"/>
    </row>
    <row r="69" spans="2:8" ht="15.9" customHeight="1" x14ac:dyDescent="0.45">
      <c r="B69" s="5" t="s">
        <v>47</v>
      </c>
      <c r="C69" s="5"/>
      <c r="D69" s="5"/>
      <c r="E69" s="5"/>
      <c r="F69" s="5"/>
      <c r="G69" s="5"/>
      <c r="H69" s="5"/>
    </row>
    <row r="70" spans="2:8" ht="15.9" customHeight="1" x14ac:dyDescent="0.45">
      <c r="B70" s="16"/>
      <c r="C70" s="16"/>
      <c r="D70" s="16"/>
      <c r="E70" s="16"/>
      <c r="F70" s="16"/>
      <c r="G70" s="16"/>
      <c r="H70" s="16"/>
    </row>
    <row r="71" spans="2:8" ht="15.9" customHeight="1" x14ac:dyDescent="0.45">
      <c r="B71" s="65" t="str">
        <f>"WACC - "&amp;$B$63</f>
        <v>WACC - Smaller-Scale Rocket/Space Tech:</v>
      </c>
      <c r="C71" s="66"/>
      <c r="D71" s="66"/>
      <c r="E71" s="66"/>
      <c r="F71" s="66"/>
      <c r="G71" s="66"/>
      <c r="H71" s="71">
        <f>H66*F63+Cost_of_Debt*(1-G63)*D63+Cost_of_Preferred*E63</f>
        <v>0.14017151654187768</v>
      </c>
    </row>
    <row r="72" spans="2:8" ht="15.9" customHeight="1" x14ac:dyDescent="0.45">
      <c r="B72" s="68" t="str">
        <f>"WACC - "&amp;$B$64</f>
        <v>WACC - "Big 5" U.S. Defense Contractors:</v>
      </c>
      <c r="C72" s="69"/>
      <c r="D72" s="69"/>
      <c r="E72" s="69"/>
      <c r="F72" s="69"/>
      <c r="G72" s="69"/>
      <c r="H72" s="72">
        <f>H67*F64+Cost_of_Debt*(1-G64)*D64+Cost_of_Preferred*E64</f>
        <v>8.0608484095514396E-2</v>
      </c>
    </row>
    <row r="73" spans="2:8" ht="15.9" customHeight="1" x14ac:dyDescent="0.45">
      <c r="B73" s="6"/>
      <c r="C73" s="6"/>
      <c r="D73" s="6"/>
      <c r="E73" s="6"/>
      <c r="F73" s="6"/>
      <c r="G73" s="6"/>
      <c r="H73" s="6"/>
    </row>
    <row r="74" spans="2:8" ht="15.9" customHeight="1" x14ac:dyDescent="0.45">
      <c r="B74" s="59" t="s">
        <v>48</v>
      </c>
      <c r="C74" s="60"/>
      <c r="D74" s="60"/>
      <c r="E74" s="60"/>
      <c r="F74" s="60"/>
      <c r="G74" s="60"/>
      <c r="H74" s="73">
        <f>AVERAGE(H71:H72)</f>
        <v>0.11039000031869603</v>
      </c>
    </row>
  </sheetData>
  <pageMargins left="0.7" right="0.7" top="0.75" bottom="0.75" header="0.3" footer="0.3"/>
  <pageSetup scale="38" orientation="portrait" horizontalDpi="1200" verticalDpi="1200" r:id="rId1"/>
  <ignoredErrors>
    <ignoredError sqref="G18" 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26</vt:i4>
      </vt:variant>
    </vt:vector>
  </HeadingPairs>
  <TitlesOfParts>
    <vt:vector size="35" baseType="lpstr">
      <vt:lpstr>Control</vt:lpstr>
      <vt:lpstr>Graphs</vt:lpstr>
      <vt:lpstr>STLK</vt:lpstr>
      <vt:lpstr>AI</vt:lpstr>
      <vt:lpstr>SPC</vt:lpstr>
      <vt:lpstr>STLK_Comps</vt:lpstr>
      <vt:lpstr>AI_Comps</vt:lpstr>
      <vt:lpstr>SPC_Comps</vt:lpstr>
      <vt:lpstr>WACC</vt:lpstr>
      <vt:lpstr>Allowed_NOL_Usage</vt:lpstr>
      <vt:lpstr>Company_Name</vt:lpstr>
      <vt:lpstr>WACC!Cost_of_Debt</vt:lpstr>
      <vt:lpstr>WACC!Cost_of_Preferred</vt:lpstr>
      <vt:lpstr>Discount_Rate</vt:lpstr>
      <vt:lpstr>Div_1</vt:lpstr>
      <vt:lpstr>Div_2</vt:lpstr>
      <vt:lpstr>Div_3</vt:lpstr>
      <vt:lpstr>WACC!Equity_Risk_Premium</vt:lpstr>
      <vt:lpstr>Hist_Year</vt:lpstr>
      <vt:lpstr>Months</vt:lpstr>
      <vt:lpstr>AI!Print_Area</vt:lpstr>
      <vt:lpstr>AI_Comps!Print_Area</vt:lpstr>
      <vt:lpstr>Control!Print_Area</vt:lpstr>
      <vt:lpstr>Graphs!Print_Area</vt:lpstr>
      <vt:lpstr>SPC!Print_Area</vt:lpstr>
      <vt:lpstr>SPC_Comps!Print_Area</vt:lpstr>
      <vt:lpstr>STLK!Print_Area</vt:lpstr>
      <vt:lpstr>STLK_Comps!Print_Area</vt:lpstr>
      <vt:lpstr>WACC!Print_Area</vt:lpstr>
      <vt:lpstr>WACC!Risk_Free_Rate</vt:lpstr>
      <vt:lpstr>Scenario</vt:lpstr>
      <vt:lpstr>Tax_Rate</vt:lpstr>
      <vt:lpstr>Ticker</vt:lpstr>
      <vt:lpstr>Units</vt:lpstr>
      <vt:lpstr>Valuation_Date</vt:lpstr>
    </vt:vector>
  </TitlesOfParts>
  <Company>LENOVO CUSTOMER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BIWS</dc:creator>
  <cp:lastModifiedBy>Brian DeChesare</cp:lastModifiedBy>
  <cp:lastPrinted>2012-04-17T02:32:08Z</cp:lastPrinted>
  <dcterms:created xsi:type="dcterms:W3CDTF">2009-06-26T05:31:17Z</dcterms:created>
  <dcterms:modified xsi:type="dcterms:W3CDTF">2026-06-02T23:48:48Z</dcterms:modified>
</cp:coreProperties>
</file>