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bdech\BIWS Dropbox\Brian DeChesare\BIWS-All-Courses\100-Bonus-Case-Studies\109-LBO-Models\109-28-LBO-Valuation\"/>
    </mc:Choice>
  </mc:AlternateContent>
  <xr:revisionPtr revIDLastSave="0" documentId="13_ncr:1_{ADF89AAC-A1F5-49C5-86A2-E028110CDE2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LBO_Valuation" sheetId="1" r:id="rId1"/>
  </sheets>
  <definedNames>
    <definedName name="_xlnm.Print_Area" localSheetId="0">LBO_Valuation!$A$1:$L$98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7" i="1" l="1"/>
  <c r="E61" i="1"/>
  <c r="E42" i="1" l="1"/>
  <c r="J31" i="1"/>
  <c r="E31" i="1"/>
  <c r="F42" i="1"/>
  <c r="G44" i="1"/>
  <c r="H90" i="1"/>
  <c r="I90" i="1"/>
  <c r="J90" i="1"/>
  <c r="K90" i="1"/>
  <c r="G90" i="1"/>
  <c r="G42" i="1" l="1"/>
  <c r="F87" i="1"/>
  <c r="F61" i="1"/>
  <c r="H44" i="1"/>
  <c r="F49" i="1"/>
  <c r="G46" i="1"/>
  <c r="G61" i="1" l="1"/>
  <c r="G87" i="1"/>
  <c r="F18" i="1"/>
  <c r="G69" i="1"/>
  <c r="G52" i="1"/>
  <c r="I44" i="1"/>
  <c r="H42" i="1"/>
  <c r="G66" i="1"/>
  <c r="G49" i="1"/>
  <c r="H46" i="1"/>
  <c r="K37" i="1"/>
  <c r="F80" i="1" s="1"/>
  <c r="F34" i="1" l="1"/>
  <c r="F79" i="1"/>
  <c r="H69" i="1"/>
  <c r="H52" i="1"/>
  <c r="H61" i="1"/>
  <c r="H87" i="1"/>
  <c r="J44" i="1"/>
  <c r="I42" i="1"/>
  <c r="G89" i="1"/>
  <c r="G91" i="1" s="1"/>
  <c r="G72" i="1"/>
  <c r="H66" i="1"/>
  <c r="H49" i="1"/>
  <c r="I46" i="1"/>
  <c r="I69" i="1" l="1"/>
  <c r="I52" i="1"/>
  <c r="I87" i="1"/>
  <c r="I61" i="1"/>
  <c r="K44" i="1"/>
  <c r="K42" i="1" s="1"/>
  <c r="J42" i="1"/>
  <c r="H89" i="1"/>
  <c r="H91" i="1" s="1"/>
  <c r="J46" i="1"/>
  <c r="I66" i="1"/>
  <c r="I49" i="1"/>
  <c r="J69" i="1" l="1"/>
  <c r="J52" i="1"/>
  <c r="J87" i="1"/>
  <c r="J61" i="1"/>
  <c r="K61" i="1"/>
  <c r="K87" i="1"/>
  <c r="I89" i="1"/>
  <c r="I91" i="1" s="1"/>
  <c r="K46" i="1"/>
  <c r="J66" i="1"/>
  <c r="J49" i="1"/>
  <c r="J5" i="1"/>
  <c r="K69" i="1" l="1"/>
  <c r="K52" i="1"/>
  <c r="J89" i="1"/>
  <c r="J91" i="1" s="1"/>
  <c r="K66" i="1"/>
  <c r="K49" i="1"/>
  <c r="K89" i="1" s="1"/>
  <c r="K91" i="1" s="1"/>
  <c r="K36" i="1" l="1"/>
  <c r="G55" i="1"/>
  <c r="G65" i="1"/>
  <c r="G57" i="1" l="1"/>
  <c r="G58" i="1" s="1"/>
  <c r="G74" i="1"/>
  <c r="G84" i="1"/>
  <c r="H65" i="1"/>
  <c r="G59" i="1" l="1"/>
  <c r="G63" i="1" s="1"/>
  <c r="G73" i="1" s="1"/>
  <c r="G75" i="1" s="1"/>
  <c r="G77" i="1" s="1"/>
  <c r="H74" i="1"/>
  <c r="H84" i="1"/>
  <c r="I84" i="1"/>
  <c r="I65" i="1"/>
  <c r="G79" i="1" l="1"/>
  <c r="G80" i="1"/>
  <c r="I74" i="1"/>
  <c r="J65" i="1"/>
  <c r="H55" i="1" l="1"/>
  <c r="H57" i="1" s="1"/>
  <c r="G92" i="1"/>
  <c r="G93" i="1" s="1"/>
  <c r="H72" i="1"/>
  <c r="J74" i="1"/>
  <c r="J84" i="1"/>
  <c r="K84" i="1"/>
  <c r="K65" i="1"/>
  <c r="H58" i="1" l="1"/>
  <c r="H59" i="1" s="1"/>
  <c r="H63" i="1" s="1"/>
  <c r="K74" i="1"/>
  <c r="H73" i="1" l="1"/>
  <c r="H75" i="1" l="1"/>
  <c r="H77" i="1" s="1"/>
  <c r="H80" i="1" l="1"/>
  <c r="I72" i="1" s="1"/>
  <c r="H79" i="1"/>
  <c r="I55" i="1" l="1"/>
  <c r="I57" i="1" s="1"/>
  <c r="I58" i="1" s="1"/>
  <c r="I59" i="1" s="1"/>
  <c r="I63" i="1" s="1"/>
  <c r="H92" i="1"/>
  <c r="H93" i="1" s="1"/>
  <c r="F22" i="1" l="1"/>
  <c r="F23" i="1" s="1"/>
  <c r="F25" i="1" s="1"/>
  <c r="I73" i="1"/>
  <c r="I75" i="1" s="1"/>
  <c r="I77" i="1" s="1"/>
  <c r="I80" i="1" l="1"/>
  <c r="J72" i="1" s="1"/>
  <c r="I79" i="1"/>
  <c r="J55" i="1" l="1"/>
  <c r="J57" i="1" s="1"/>
  <c r="I92" i="1"/>
  <c r="I93" i="1" s="1"/>
  <c r="J58" i="1" l="1"/>
  <c r="J59" i="1" s="1"/>
  <c r="J63" i="1" s="1"/>
  <c r="J73" i="1" l="1"/>
  <c r="J75" i="1" s="1"/>
  <c r="J77" i="1" s="1"/>
  <c r="J80" i="1" l="1"/>
  <c r="K72" i="1" s="1"/>
  <c r="J79" i="1"/>
  <c r="K55" i="1" l="1"/>
  <c r="J92" i="1"/>
  <c r="J93" i="1" s="1"/>
  <c r="K57" i="1" l="1"/>
  <c r="K58" i="1" s="1"/>
  <c r="K59" i="1" s="1"/>
  <c r="K63" i="1" s="1"/>
  <c r="K73" i="1" l="1"/>
  <c r="K75" i="1" s="1"/>
  <c r="K77" i="1" s="1"/>
  <c r="K80" i="1" l="1"/>
  <c r="K79" i="1"/>
  <c r="K92" i="1" l="1"/>
  <c r="K93" i="1" s="1"/>
  <c r="F26" i="1" l="1"/>
  <c r="F27" i="1" s="1"/>
  <c r="F29" i="1" s="1"/>
  <c r="F10" i="1" s="1"/>
  <c r="F12" i="1" s="1"/>
  <c r="K34" i="1" l="1"/>
  <c r="K38" i="1" s="1"/>
  <c r="F35" i="1" s="1"/>
  <c r="F15" i="1"/>
  <c r="F36" i="1" l="1"/>
  <c r="K40" i="1" s="1"/>
  <c r="G96" i="1"/>
  <c r="G95" i="1"/>
  <c r="K96" i="1"/>
  <c r="I96" i="1"/>
  <c r="J95" i="1"/>
  <c r="I95" i="1"/>
  <c r="H95" i="1"/>
  <c r="J96" i="1"/>
  <c r="H96" i="1"/>
  <c r="K95" i="1"/>
  <c r="F81" i="1"/>
  <c r="F83" i="1" l="1"/>
  <c r="G81" i="1"/>
  <c r="H81" i="1" l="1"/>
  <c r="G83" i="1"/>
  <c r="I81" i="1" l="1"/>
  <c r="H83" i="1"/>
  <c r="H85" i="1" s="1"/>
  <c r="G85" i="1"/>
  <c r="I83" i="1" l="1"/>
  <c r="J81" i="1"/>
  <c r="I85" i="1" l="1"/>
  <c r="J83" i="1"/>
  <c r="J85" i="1" s="1"/>
  <c r="K81" i="1"/>
  <c r="K83" i="1" s="1"/>
  <c r="K85" i="1" l="1"/>
</calcChain>
</file>

<file path=xl/sharedStrings.xml><?xml version="1.0" encoding="utf-8"?>
<sst xmlns="http://schemas.openxmlformats.org/spreadsheetml/2006/main" count="148" uniqueCount="83">
  <si>
    <t>Net Income:</t>
  </si>
  <si>
    <t>Debt Balance:</t>
  </si>
  <si>
    <t>EBITDA Exit Multiple:</t>
  </si>
  <si>
    <t>EBITDA:</t>
  </si>
  <si>
    <t>Tax Rate:</t>
  </si>
  <si>
    <t>($ in Millions)</t>
  </si>
  <si>
    <t>Debt Used:</t>
  </si>
  <si>
    <t>Income Statement:</t>
  </si>
  <si>
    <t>Revenue:</t>
  </si>
  <si>
    <t>Interest Rate:</t>
  </si>
  <si>
    <t>Pre-Tax Income:</t>
  </si>
  <si>
    <t>Exit Enterprise Value:</t>
  </si>
  <si>
    <t>Cash Balance:</t>
  </si>
  <si>
    <t>Cash Flow Used for Debt Repayment:</t>
  </si>
  <si>
    <t>Money-on-Money (MoM) Multiple:</t>
  </si>
  <si>
    <t>Growth Rate:</t>
  </si>
  <si>
    <t>Margin:</t>
  </si>
  <si>
    <t>(-) Depreciation &amp; Amortization:</t>
  </si>
  <si>
    <t>(-) Interest Expense:</t>
  </si>
  <si>
    <t>(-) Taxes:</t>
  </si>
  <si>
    <t>Cash Flow and Debt Repayment:</t>
  </si>
  <si>
    <t>(+) Depreciation &amp; Amortization:</t>
  </si>
  <si>
    <t>(+/-) Change in Working Capital:</t>
  </si>
  <si>
    <t>(-) CapEx:</t>
  </si>
  <si>
    <t>% of Revenue:</t>
  </si>
  <si>
    <t>% of Change in Revenue:</t>
  </si>
  <si>
    <t>(+) Beginning Cash Balance:</t>
  </si>
  <si>
    <t>(+) Free Cash Flow:</t>
  </si>
  <si>
    <t>(-) Minimum Cash Balance:</t>
  </si>
  <si>
    <t>Cash Flow Available for Debt Repayment:</t>
  </si>
  <si>
    <t>Minimum Cash % EBITDA:</t>
  </si>
  <si>
    <t>(-) Debt:</t>
  </si>
  <si>
    <t>(+) Cash:</t>
  </si>
  <si>
    <t>Equity Balance:</t>
  </si>
  <si>
    <t>Invested Capital:</t>
  </si>
  <si>
    <t>NOPAT:</t>
  </si>
  <si>
    <t>Return on Invested Capital (ROIC):</t>
  </si>
  <si>
    <t>Purchase Enterprise Value:</t>
  </si>
  <si>
    <t>Sources &amp; Uses:</t>
  </si>
  <si>
    <t>Uses:</t>
  </si>
  <si>
    <t>Transaction Fees:</t>
  </si>
  <si>
    <t>Financing Fees:</t>
  </si>
  <si>
    <t>Total Uses:</t>
  </si>
  <si>
    <t>CHECK:</t>
  </si>
  <si>
    <t>Sources:</t>
  </si>
  <si>
    <t>Total Sources:</t>
  </si>
  <si>
    <t>Advisory Fee %:</t>
  </si>
  <si>
    <t>%</t>
  </si>
  <si>
    <t>Debt Issuance Fee %:</t>
  </si>
  <si>
    <t>Legal and Other Fees:</t>
  </si>
  <si>
    <t>$ M</t>
  </si>
  <si>
    <t>Transaction Assumptions:</t>
  </si>
  <si>
    <t>Units:</t>
  </si>
  <si>
    <t>x</t>
  </si>
  <si>
    <t>Leverage Ratio:</t>
  </si>
  <si>
    <t>Investor Equity:</t>
  </si>
  <si>
    <t>Purchase Equity Value:</t>
  </si>
  <si>
    <t>New Debt Issued:</t>
  </si>
  <si>
    <t>Minimum Cash:</t>
  </si>
  <si>
    <t>(x) Exit Multiple:</t>
  </si>
  <si>
    <t>(-) Net Debt:</t>
  </si>
  <si>
    <t>Exit Equity Proceeds:</t>
  </si>
  <si>
    <t>Internal Rate of Return (IRR):</t>
  </si>
  <si>
    <t>Year #:</t>
  </si>
  <si>
    <t>#</t>
  </si>
  <si>
    <t>Cash Flow Sweep:</t>
  </si>
  <si>
    <t>Equity Returns:</t>
  </si>
  <si>
    <t>Targeted IRR:</t>
  </si>
  <si>
    <t>Assumed Exit Year:</t>
  </si>
  <si>
    <t>Year</t>
  </si>
  <si>
    <t>Exit Equity Proceeds in Year:</t>
  </si>
  <si>
    <t>CAGR = (Ending / Starting) ^ (1 / # Years) - 1</t>
  </si>
  <si>
    <t>CAGR + 1 = (Ending / Starting) ^ (1 / # Years)</t>
  </si>
  <si>
    <t>Required Purchase Enterprise Value:</t>
  </si>
  <si>
    <t>Required EBITDA Purchase Multiple:</t>
  </si>
  <si>
    <t>Required Investor Equity:</t>
  </si>
  <si>
    <t>Required Total Sources:</t>
  </si>
  <si>
    <t>(-) Estimated Fees &amp; Min Cash:</t>
  </si>
  <si>
    <t>(CAGR + 1) ^ # Years = Ending / Starting</t>
  </si>
  <si>
    <t>(CAGR + 1) ^ # Years / Ending = 1 / Starting</t>
  </si>
  <si>
    <t>Ending / (CAGR + 1) ^ # Years = Starting</t>
  </si>
  <si>
    <t>Calculated EBITDA Purchase Multiple:</t>
  </si>
  <si>
    <t>Simple LBO Model - LBO Valuation (No Circular References)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</si>
</sst>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164" formatCode="0.0\ \x"/>
    <numFmt numFmtId="165" formatCode="_(* #,##0.0_);_(* \(#,##0.0\);_(* &quot;-&quot;?_);_(@_)"/>
    <numFmt numFmtId="166" formatCode="0.0%;\(0.0%\)"/>
    <numFmt numFmtId="167" formatCode="_(* #,##0_);_(* \(#,##0\);_(* &quot;-&quot;?_);_(@_)"/>
    <numFmt numFmtId="168" formatCode="0%;\(0%\)"/>
    <numFmt numFmtId="169" formatCode="&quot;$&quot;#,##0.0_);\(&quot;$&quot;#,##0.0\);&quot;OK!&quot;;&quot;ERROR&quot;"/>
    <numFmt numFmtId="170" formatCode="_(&quot;$&quot;* #,##0_);_(&quot;$&quot;* \(#,##0\);_(&quot;$&quot;* &quot;-&quot;?_);_(@_)"/>
    <numFmt numFmtId="171" formatCode="_(* #,##0.0%;_(* \(#,##0.0%\);_(* &quot;- %&quot;_);_(* @_%_)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u/>
      <sz val="12"/>
      <color indexed="9"/>
      <name val="Calibri"/>
      <family val="2"/>
      <scheme val="minor"/>
    </font>
    <font>
      <u/>
      <sz val="12"/>
      <color indexed="9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00FF"/>
      <name val="Calibri"/>
      <family val="2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i/>
      <sz val="12"/>
      <color indexed="9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3" fillId="2" borderId="3" applyNumberFormat="0" applyFont="0" applyAlignment="0" applyProtection="0"/>
    <xf numFmtId="0" fontId="14" fillId="0" borderId="0"/>
  </cellStyleXfs>
  <cellXfs count="64">
    <xf numFmtId="0" fontId="0" fillId="0" borderId="0" xfId="0"/>
    <xf numFmtId="0" fontId="4" fillId="0" borderId="0" xfId="0" applyFont="1"/>
    <xf numFmtId="0" fontId="5" fillId="0" borderId="0" xfId="0" applyFont="1"/>
    <xf numFmtId="0" fontId="6" fillId="5" borderId="2" xfId="0" applyFont="1" applyFill="1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164" fontId="9" fillId="4" borderId="3" xfId="0" applyNumberFormat="1" applyFont="1" applyFill="1" applyBorder="1" applyAlignment="1">
      <alignment horizontal="center"/>
    </xf>
    <xf numFmtId="42" fontId="5" fillId="0" borderId="0" xfId="0" applyNumberFormat="1" applyFont="1"/>
    <xf numFmtId="166" fontId="10" fillId="4" borderId="3" xfId="1" applyNumberFormat="1" applyFont="1" applyFill="1" applyAlignment="1">
      <alignment horizontal="center"/>
    </xf>
    <xf numFmtId="41" fontId="5" fillId="0" borderId="0" xfId="0" applyNumberFormat="1" applyFont="1"/>
    <xf numFmtId="4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5" fillId="0" borderId="0" xfId="0" applyNumberFormat="1" applyFont="1"/>
    <xf numFmtId="0" fontId="5" fillId="0" borderId="0" xfId="0" applyFont="1" applyAlignment="1">
      <alignment horizontal="left" indent="1"/>
    </xf>
    <xf numFmtId="0" fontId="5" fillId="0" borderId="2" xfId="0" applyFont="1" applyBorder="1"/>
    <xf numFmtId="41" fontId="5" fillId="0" borderId="2" xfId="0" applyNumberFormat="1" applyFont="1" applyBorder="1"/>
    <xf numFmtId="42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42" fontId="4" fillId="0" borderId="1" xfId="0" applyNumberFormat="1" applyFont="1" applyBorder="1"/>
    <xf numFmtId="0" fontId="11" fillId="0" borderId="0" xfId="0" applyFont="1"/>
    <xf numFmtId="0" fontId="12" fillId="0" borderId="0" xfId="0" applyFont="1" applyAlignment="1">
      <alignment horizontal="left" indent="1"/>
    </xf>
    <xf numFmtId="42" fontId="9" fillId="0" borderId="0" xfId="0" applyNumberFormat="1" applyFont="1" applyAlignment="1">
      <alignment horizontal="center"/>
    </xf>
    <xf numFmtId="167" fontId="4" fillId="0" borderId="1" xfId="0" applyNumberFormat="1" applyFont="1" applyBorder="1"/>
    <xf numFmtId="41" fontId="9" fillId="4" borderId="3" xfId="1" applyNumberFormat="1" applyFont="1" applyFill="1"/>
    <xf numFmtId="168" fontId="10" fillId="4" borderId="3" xfId="1" applyNumberFormat="1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1"/>
    </xf>
    <xf numFmtId="0" fontId="4" fillId="0" borderId="1" xfId="0" applyFont="1" applyBorder="1" applyAlignment="1">
      <alignment horizontal="left"/>
    </xf>
    <xf numFmtId="0" fontId="2" fillId="0" borderId="1" xfId="0" applyFont="1" applyBorder="1"/>
    <xf numFmtId="169" fontId="4" fillId="0" borderId="0" xfId="0" applyNumberFormat="1" applyFont="1" applyAlignment="1">
      <alignment horizontal="center"/>
    </xf>
    <xf numFmtId="0" fontId="2" fillId="0" borderId="2" xfId="0" applyFont="1" applyBorder="1"/>
    <xf numFmtId="0" fontId="12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166" fontId="10" fillId="0" borderId="0" xfId="1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170" fontId="2" fillId="0" borderId="0" xfId="0" applyNumberFormat="1" applyFont="1"/>
    <xf numFmtId="167" fontId="13" fillId="0" borderId="0" xfId="2" applyNumberFormat="1" applyFont="1"/>
    <xf numFmtId="170" fontId="4" fillId="0" borderId="1" xfId="0" applyNumberFormat="1" applyFont="1" applyBorder="1"/>
    <xf numFmtId="170" fontId="10" fillId="4" borderId="3" xfId="1" applyNumberFormat="1" applyFont="1" applyFill="1" applyAlignment="1"/>
    <xf numFmtId="0" fontId="12" fillId="0" borderId="2" xfId="0" applyFont="1" applyBorder="1" applyAlignment="1">
      <alignment horizontal="center"/>
    </xf>
    <xf numFmtId="41" fontId="4" fillId="0" borderId="1" xfId="0" applyNumberFormat="1" applyFont="1" applyBorder="1"/>
    <xf numFmtId="0" fontId="4" fillId="0" borderId="0" xfId="0" applyFont="1" applyAlignment="1">
      <alignment horizontal="left"/>
    </xf>
    <xf numFmtId="170" fontId="4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0" xfId="0" applyFont="1"/>
    <xf numFmtId="0" fontId="1" fillId="0" borderId="2" xfId="0" applyFont="1" applyBorder="1" applyAlignment="1">
      <alignment horizontal="left" indent="1"/>
    </xf>
    <xf numFmtId="164" fontId="5" fillId="0" borderId="2" xfId="0" applyNumberFormat="1" applyFont="1" applyBorder="1"/>
    <xf numFmtId="164" fontId="1" fillId="0" borderId="0" xfId="0" applyNumberFormat="1" applyFont="1"/>
    <xf numFmtId="171" fontId="16" fillId="0" borderId="0" xfId="1" applyNumberFormat="1" applyFont="1" applyFill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3" borderId="2" xfId="0" applyFont="1" applyFill="1" applyBorder="1"/>
    <xf numFmtId="0" fontId="2" fillId="3" borderId="2" xfId="0" applyFont="1" applyFill="1" applyBorder="1"/>
    <xf numFmtId="166" fontId="12" fillId="0" borderId="0" xfId="0" applyNumberFormat="1" applyFont="1"/>
    <xf numFmtId="3" fontId="10" fillId="4" borderId="3" xfId="1" applyNumberFormat="1" applyFont="1" applyFill="1" applyAlignment="1">
      <alignment horizontal="center"/>
    </xf>
    <xf numFmtId="167" fontId="5" fillId="0" borderId="2" xfId="0" applyNumberFormat="1" applyFont="1" applyBorder="1"/>
    <xf numFmtId="41" fontId="4" fillId="0" borderId="0" xfId="0" applyNumberFormat="1" applyFont="1"/>
    <xf numFmtId="164" fontId="13" fillId="0" borderId="0" xfId="0" applyNumberFormat="1" applyFont="1" applyAlignment="1">
      <alignment horizontal="center"/>
    </xf>
    <xf numFmtId="167" fontId="9" fillId="4" borderId="3" xfId="2" applyNumberFormat="1" applyFont="1" applyFill="1" applyBorder="1" applyAlignment="1">
      <alignment horizontal="center"/>
    </xf>
  </cellXfs>
  <cellStyles count="3">
    <cellStyle name="Normal" xfId="0" builtinId="0"/>
    <cellStyle name="Normal 2" xfId="2" xr:uid="{E28F3379-423F-4FF8-8C0E-ABECB8E31219}"/>
    <cellStyle name="Note" xfId="1" builtinId="10"/>
  </cellStyles>
  <dxfs count="0"/>
  <tableStyles count="0" defaultTableStyle="TableStyleMedium2" defaultPivotStyle="PivotStyleLight16"/>
  <colors>
    <mruColors>
      <color rgb="FF0000FF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L97"/>
  <sheetViews>
    <sheetView showGridLines="0" tabSelected="1" zoomScaleNormal="100" workbookViewId="0">
      <selection activeCell="B2" sqref="B2"/>
    </sheetView>
  </sheetViews>
  <sheetFormatPr defaultColWidth="9.15234375" defaultRowHeight="15.9" x14ac:dyDescent="0.45"/>
  <cols>
    <col min="1" max="2" width="2.69140625" style="2" customWidth="1"/>
    <col min="3" max="4" width="20.69140625" style="2" customWidth="1"/>
    <col min="5" max="11" width="13.69140625" style="2" customWidth="1"/>
    <col min="12" max="12" width="2.69140625" style="2" customWidth="1"/>
    <col min="13" max="17" width="10.69140625" style="2" customWidth="1"/>
    <col min="18" max="16384" width="9.15234375" style="2"/>
  </cols>
  <sheetData>
    <row r="2" spans="2:12" ht="18.45" x14ac:dyDescent="0.5">
      <c r="B2" s="20" t="s">
        <v>82</v>
      </c>
    </row>
    <row r="3" spans="2:12" x14ac:dyDescent="0.45">
      <c r="B3" s="2" t="s">
        <v>5</v>
      </c>
    </row>
    <row r="5" spans="2:12" x14ac:dyDescent="0.45">
      <c r="B5" s="3" t="s">
        <v>51</v>
      </c>
      <c r="C5" s="4"/>
      <c r="D5" s="4"/>
      <c r="E5" s="34" t="s">
        <v>52</v>
      </c>
      <c r="F5" s="5"/>
      <c r="G5" s="4"/>
      <c r="H5" s="5"/>
      <c r="I5" s="5"/>
      <c r="J5" s="34" t="str">
        <f>$E$5</f>
        <v>Units:</v>
      </c>
      <c r="K5" s="5"/>
      <c r="L5" s="36"/>
    </row>
    <row r="7" spans="2:12" x14ac:dyDescent="0.45">
      <c r="C7" s="46" t="s">
        <v>67</v>
      </c>
      <c r="E7" s="32" t="s">
        <v>47</v>
      </c>
      <c r="F7" s="8">
        <v>0.2</v>
      </c>
    </row>
    <row r="8" spans="2:12" x14ac:dyDescent="0.45">
      <c r="C8" s="46" t="s">
        <v>68</v>
      </c>
      <c r="E8" s="32" t="s">
        <v>69</v>
      </c>
      <c r="F8" s="59">
        <v>5</v>
      </c>
    </row>
    <row r="10" spans="2:12" x14ac:dyDescent="0.45">
      <c r="C10" s="46" t="s">
        <v>81</v>
      </c>
      <c r="E10" s="32" t="s">
        <v>53</v>
      </c>
      <c r="F10" s="62">
        <f>F29</f>
        <v>8.5696343081873518</v>
      </c>
      <c r="H10" s="2" t="s">
        <v>2</v>
      </c>
      <c r="J10" s="32" t="s">
        <v>53</v>
      </c>
      <c r="K10" s="6">
        <v>8</v>
      </c>
    </row>
    <row r="12" spans="2:12" x14ac:dyDescent="0.45">
      <c r="C12" s="1" t="s">
        <v>37</v>
      </c>
      <c r="E12" s="32" t="s">
        <v>50</v>
      </c>
      <c r="F12" s="16">
        <f>F10*F49</f>
        <v>856.96343081873522</v>
      </c>
      <c r="H12" s="2" t="s">
        <v>30</v>
      </c>
      <c r="J12" s="32" t="s">
        <v>47</v>
      </c>
      <c r="K12" s="8">
        <v>0.2</v>
      </c>
    </row>
    <row r="13" spans="2:12" x14ac:dyDescent="0.45">
      <c r="C13" s="27" t="s">
        <v>32</v>
      </c>
      <c r="E13" s="32" t="s">
        <v>50</v>
      </c>
      <c r="F13" s="24">
        <v>50</v>
      </c>
      <c r="H13" s="2" t="s">
        <v>4</v>
      </c>
      <c r="J13" s="32" t="s">
        <v>47</v>
      </c>
      <c r="K13" s="8">
        <v>0.25</v>
      </c>
    </row>
    <row r="14" spans="2:12" x14ac:dyDescent="0.45">
      <c r="C14" s="27" t="s">
        <v>31</v>
      </c>
      <c r="E14" s="41" t="s">
        <v>50</v>
      </c>
      <c r="F14" s="24">
        <v>-100</v>
      </c>
    </row>
    <row r="15" spans="2:12" x14ac:dyDescent="0.45">
      <c r="C15" s="17" t="s">
        <v>56</v>
      </c>
      <c r="D15" s="18"/>
      <c r="E15" s="32" t="s">
        <v>50</v>
      </c>
      <c r="F15" s="42">
        <f>SUM(F12:F14)</f>
        <v>806.96343081873522</v>
      </c>
      <c r="H15" s="26" t="s">
        <v>46</v>
      </c>
      <c r="J15" s="32" t="s">
        <v>47</v>
      </c>
      <c r="K15" s="8">
        <v>0.01</v>
      </c>
    </row>
    <row r="16" spans="2:12" x14ac:dyDescent="0.45">
      <c r="H16" s="26" t="s">
        <v>48</v>
      </c>
      <c r="J16" s="32" t="s">
        <v>47</v>
      </c>
      <c r="K16" s="8">
        <v>0.02</v>
      </c>
      <c r="L16" s="35"/>
    </row>
    <row r="17" spans="2:11" x14ac:dyDescent="0.45">
      <c r="C17" s="26" t="s">
        <v>54</v>
      </c>
      <c r="E17" s="32" t="s">
        <v>53</v>
      </c>
      <c r="F17" s="6">
        <v>5</v>
      </c>
      <c r="H17" s="26"/>
      <c r="J17" s="26"/>
      <c r="K17" s="26"/>
    </row>
    <row r="18" spans="2:11" x14ac:dyDescent="0.45">
      <c r="C18" s="26" t="s">
        <v>6</v>
      </c>
      <c r="E18" s="32" t="s">
        <v>50</v>
      </c>
      <c r="F18" s="9">
        <f>F17*F49</f>
        <v>500</v>
      </c>
      <c r="H18" s="26" t="s">
        <v>49</v>
      </c>
      <c r="J18" s="32" t="s">
        <v>50</v>
      </c>
      <c r="K18" s="40">
        <v>2</v>
      </c>
    </row>
    <row r="19" spans="2:11" x14ac:dyDescent="0.45">
      <c r="C19" s="2" t="s">
        <v>9</v>
      </c>
      <c r="E19" s="32" t="s">
        <v>47</v>
      </c>
      <c r="F19" s="8">
        <v>0.08</v>
      </c>
    </row>
    <row r="20" spans="2:11" x14ac:dyDescent="0.45">
      <c r="C20" s="46" t="s">
        <v>65</v>
      </c>
      <c r="E20" s="32" t="s">
        <v>47</v>
      </c>
      <c r="F20" s="8">
        <v>0.5</v>
      </c>
    </row>
    <row r="21" spans="2:11" x14ac:dyDescent="0.45">
      <c r="H21" s="46" t="s">
        <v>71</v>
      </c>
    </row>
    <row r="22" spans="2:11" x14ac:dyDescent="0.45">
      <c r="C22" s="46" t="s">
        <v>70</v>
      </c>
      <c r="E22" s="32" t="s">
        <v>50</v>
      </c>
      <c r="F22" s="9">
        <f>_xlfn.XLOOKUP(F8,G44:K44,G93:K93)</f>
        <v>987.77204417487485</v>
      </c>
      <c r="H22" s="46" t="s">
        <v>72</v>
      </c>
    </row>
    <row r="23" spans="2:11" x14ac:dyDescent="0.45">
      <c r="C23" s="46" t="s">
        <v>75</v>
      </c>
      <c r="E23" s="32" t="s">
        <v>50</v>
      </c>
      <c r="F23" s="9">
        <f>F22/((1+F7)^F8)</f>
        <v>396.96343081873511</v>
      </c>
      <c r="H23" s="46" t="s">
        <v>78</v>
      </c>
    </row>
    <row r="24" spans="2:11" x14ac:dyDescent="0.45">
      <c r="C24" s="46"/>
      <c r="E24" s="32"/>
      <c r="F24" s="9"/>
      <c r="H24" s="46" t="s">
        <v>79</v>
      </c>
    </row>
    <row r="25" spans="2:11" x14ac:dyDescent="0.45">
      <c r="C25" s="46" t="s">
        <v>76</v>
      </c>
      <c r="E25" s="32" t="s">
        <v>50</v>
      </c>
      <c r="F25" s="9">
        <f>F23+F18</f>
        <v>896.96343081873511</v>
      </c>
      <c r="H25" s="46" t="s">
        <v>80</v>
      </c>
    </row>
    <row r="26" spans="2:11" x14ac:dyDescent="0.45">
      <c r="C26" s="47" t="s">
        <v>77</v>
      </c>
      <c r="D26" s="14"/>
      <c r="E26" s="41" t="s">
        <v>50</v>
      </c>
      <c r="F26" s="60">
        <f>-SUM(K35:K37)</f>
        <v>-40</v>
      </c>
      <c r="H26" s="46"/>
    </row>
    <row r="27" spans="2:11" x14ac:dyDescent="0.45">
      <c r="C27" s="1" t="s">
        <v>73</v>
      </c>
      <c r="E27" s="32" t="s">
        <v>50</v>
      </c>
      <c r="F27" s="61">
        <f>SUM(F25:F26)</f>
        <v>856.96343081873511</v>
      </c>
    </row>
    <row r="28" spans="2:11" x14ac:dyDescent="0.45">
      <c r="C28" s="46"/>
      <c r="E28" s="32"/>
      <c r="F28" s="9"/>
    </row>
    <row r="29" spans="2:11" x14ac:dyDescent="0.45">
      <c r="C29" s="46" t="s">
        <v>74</v>
      </c>
      <c r="E29" s="32" t="s">
        <v>53</v>
      </c>
      <c r="F29" s="49">
        <f>F27/F49</f>
        <v>8.5696343081873518</v>
      </c>
    </row>
    <row r="31" spans="2:11" x14ac:dyDescent="0.45">
      <c r="B31" s="3" t="s">
        <v>38</v>
      </c>
      <c r="C31" s="4"/>
      <c r="D31" s="4"/>
      <c r="E31" s="34" t="str">
        <f>$E$5</f>
        <v>Units:</v>
      </c>
      <c r="F31" s="4"/>
      <c r="G31" s="4"/>
      <c r="H31" s="5"/>
      <c r="I31" s="5"/>
      <c r="J31" s="34" t="str">
        <f>$E$5</f>
        <v>Units:</v>
      </c>
      <c r="K31" s="5"/>
    </row>
    <row r="33" spans="2:12" x14ac:dyDescent="0.45">
      <c r="C33" s="56" t="s">
        <v>44</v>
      </c>
      <c r="D33" s="57"/>
      <c r="E33" s="56"/>
      <c r="F33" s="56"/>
      <c r="H33" s="56" t="s">
        <v>39</v>
      </c>
      <c r="I33" s="57"/>
      <c r="J33" s="57"/>
      <c r="K33" s="57"/>
    </row>
    <row r="34" spans="2:12" x14ac:dyDescent="0.45">
      <c r="C34" s="27" t="s">
        <v>57</v>
      </c>
      <c r="D34" s="26"/>
      <c r="E34" s="32" t="s">
        <v>50</v>
      </c>
      <c r="F34" s="37">
        <f>F18</f>
        <v>500</v>
      </c>
      <c r="H34" s="45" t="s">
        <v>37</v>
      </c>
      <c r="I34" s="26"/>
      <c r="J34" s="32" t="s">
        <v>50</v>
      </c>
      <c r="K34" s="37">
        <f>F12</f>
        <v>856.96343081873522</v>
      </c>
    </row>
    <row r="35" spans="2:12" x14ac:dyDescent="0.45">
      <c r="C35" s="27" t="s">
        <v>55</v>
      </c>
      <c r="D35" s="31"/>
      <c r="E35" s="41" t="s">
        <v>50</v>
      </c>
      <c r="F35" s="38">
        <f>K38-F34</f>
        <v>396.96343081873522</v>
      </c>
      <c r="H35" s="27" t="s">
        <v>40</v>
      </c>
      <c r="I35" s="26"/>
      <c r="J35" s="32" t="s">
        <v>50</v>
      </c>
      <c r="K35" s="63">
        <v>10</v>
      </c>
    </row>
    <row r="36" spans="2:12" x14ac:dyDescent="0.45">
      <c r="C36" s="28" t="s">
        <v>45</v>
      </c>
      <c r="D36" s="26"/>
      <c r="E36" s="32" t="s">
        <v>50</v>
      </c>
      <c r="F36" s="39">
        <f>SUM(F34:F35)</f>
        <v>896.96343081873522</v>
      </c>
      <c r="H36" s="27" t="s">
        <v>41</v>
      </c>
      <c r="I36" s="26"/>
      <c r="J36" s="32" t="s">
        <v>50</v>
      </c>
      <c r="K36" s="38">
        <f>K16*F18</f>
        <v>10</v>
      </c>
    </row>
    <row r="37" spans="2:12" x14ac:dyDescent="0.45">
      <c r="C37" s="43"/>
      <c r="D37" s="26"/>
      <c r="F37" s="44"/>
      <c r="H37" s="45" t="s">
        <v>58</v>
      </c>
      <c r="I37" s="26"/>
      <c r="J37" s="41" t="s">
        <v>50</v>
      </c>
      <c r="K37" s="38">
        <f>K12*F49</f>
        <v>20</v>
      </c>
    </row>
    <row r="38" spans="2:12" x14ac:dyDescent="0.45">
      <c r="H38" s="28" t="s">
        <v>42</v>
      </c>
      <c r="I38" s="29"/>
      <c r="J38" s="32" t="s">
        <v>50</v>
      </c>
      <c r="K38" s="39">
        <f>SUM(K34:K37)</f>
        <v>896.96343081873522</v>
      </c>
    </row>
    <row r="39" spans="2:12" x14ac:dyDescent="0.45">
      <c r="H39" s="26"/>
      <c r="I39" s="26"/>
      <c r="J39" s="26"/>
      <c r="K39" s="26"/>
      <c r="L39" s="26"/>
    </row>
    <row r="40" spans="2:12" x14ac:dyDescent="0.45">
      <c r="H40" s="1" t="s">
        <v>43</v>
      </c>
      <c r="I40" s="26"/>
      <c r="J40" s="26"/>
      <c r="K40" s="30">
        <f>F36-K38</f>
        <v>0</v>
      </c>
      <c r="L40" s="30"/>
    </row>
    <row r="42" spans="2:12" x14ac:dyDescent="0.45">
      <c r="B42" s="3" t="s">
        <v>7</v>
      </c>
      <c r="C42" s="4"/>
      <c r="D42" s="4"/>
      <c r="E42" s="34" t="str">
        <f>$E$5</f>
        <v>Units:</v>
      </c>
      <c r="F42" s="33" t="str">
        <f>"Year "&amp;$F$44</f>
        <v>Year 0</v>
      </c>
      <c r="G42" s="33" t="str">
        <f>"Year "&amp;$G$44</f>
        <v>Year 1</v>
      </c>
      <c r="H42" s="33" t="str">
        <f>"Year "&amp;$H$44</f>
        <v>Year 2</v>
      </c>
      <c r="I42" s="33" t="str">
        <f>"Year "&amp;$I$44</f>
        <v>Year 3</v>
      </c>
      <c r="J42" s="33" t="str">
        <f>"Year "&amp;$J$44</f>
        <v>Year 4</v>
      </c>
      <c r="K42" s="33" t="str">
        <f>"Year "&amp;$K$44</f>
        <v>Year 5</v>
      </c>
    </row>
    <row r="43" spans="2:12" x14ac:dyDescent="0.45">
      <c r="B43" s="51"/>
      <c r="C43" s="52"/>
      <c r="D43" s="52"/>
      <c r="E43" s="52"/>
      <c r="F43" s="53"/>
      <c r="G43" s="53"/>
      <c r="H43" s="53"/>
      <c r="I43" s="53"/>
      <c r="J43" s="53"/>
      <c r="K43" s="53"/>
    </row>
    <row r="44" spans="2:12" x14ac:dyDescent="0.45">
      <c r="B44" s="51"/>
      <c r="C44" s="2" t="s">
        <v>63</v>
      </c>
      <c r="D44" s="52"/>
      <c r="E44" s="32" t="s">
        <v>64</v>
      </c>
      <c r="F44" s="55">
        <v>0</v>
      </c>
      <c r="G44" s="54">
        <f>F44+1</f>
        <v>1</v>
      </c>
      <c r="H44" s="54">
        <f t="shared" ref="H44:K44" si="0">G44+1</f>
        <v>2</v>
      </c>
      <c r="I44" s="54">
        <f t="shared" si="0"/>
        <v>3</v>
      </c>
      <c r="J44" s="54">
        <f t="shared" si="0"/>
        <v>4</v>
      </c>
      <c r="K44" s="54">
        <f t="shared" si="0"/>
        <v>5</v>
      </c>
    </row>
    <row r="45" spans="2:12" x14ac:dyDescent="0.45">
      <c r="B45" s="51"/>
      <c r="C45" s="52"/>
      <c r="D45" s="52"/>
      <c r="E45" s="52"/>
      <c r="F45" s="53"/>
      <c r="G45" s="53"/>
      <c r="H45" s="53"/>
      <c r="I45" s="53"/>
      <c r="J45" s="53"/>
      <c r="K45" s="53"/>
    </row>
    <row r="46" spans="2:12" x14ac:dyDescent="0.45">
      <c r="B46" s="1"/>
      <c r="C46" s="2" t="s">
        <v>8</v>
      </c>
      <c r="E46" s="32" t="s">
        <v>50</v>
      </c>
      <c r="F46" s="22">
        <v>250</v>
      </c>
      <c r="G46" s="10">
        <f>F46*(1+G47)</f>
        <v>275</v>
      </c>
      <c r="H46" s="10">
        <f t="shared" ref="H46:K46" si="1">G46*(1+H47)</f>
        <v>297</v>
      </c>
      <c r="I46" s="10">
        <f t="shared" si="1"/>
        <v>314.82</v>
      </c>
      <c r="J46" s="10">
        <f t="shared" si="1"/>
        <v>330.56099999999998</v>
      </c>
      <c r="K46" s="10">
        <f t="shared" si="1"/>
        <v>347.08904999999999</v>
      </c>
    </row>
    <row r="47" spans="2:12" x14ac:dyDescent="0.45">
      <c r="B47" s="1"/>
      <c r="C47" s="13" t="s">
        <v>15</v>
      </c>
      <c r="E47" s="32" t="s">
        <v>47</v>
      </c>
      <c r="F47" s="11"/>
      <c r="G47" s="25">
        <v>0.1</v>
      </c>
      <c r="H47" s="25">
        <v>0.08</v>
      </c>
      <c r="I47" s="25">
        <v>0.06</v>
      </c>
      <c r="J47" s="25">
        <v>0.05</v>
      </c>
      <c r="K47" s="25">
        <v>0.05</v>
      </c>
    </row>
    <row r="48" spans="2:12" x14ac:dyDescent="0.45">
      <c r="B48" s="1"/>
      <c r="F48" s="11"/>
      <c r="G48" s="11"/>
      <c r="H48" s="11"/>
      <c r="I48" s="11"/>
      <c r="J48" s="11"/>
      <c r="K48" s="11"/>
    </row>
    <row r="49" spans="2:11" x14ac:dyDescent="0.45">
      <c r="C49" s="2" t="s">
        <v>3</v>
      </c>
      <c r="E49" s="32" t="s">
        <v>50</v>
      </c>
      <c r="F49" s="9">
        <f>F46*F50</f>
        <v>100</v>
      </c>
      <c r="G49" s="9">
        <f t="shared" ref="G49:K49" si="2">G46*G50</f>
        <v>112.75</v>
      </c>
      <c r="H49" s="9">
        <f t="shared" si="2"/>
        <v>124.74</v>
      </c>
      <c r="I49" s="9">
        <f t="shared" si="2"/>
        <v>135.37260000000001</v>
      </c>
      <c r="J49" s="9">
        <f t="shared" si="2"/>
        <v>145.44683999999998</v>
      </c>
      <c r="K49" s="9">
        <f t="shared" si="2"/>
        <v>156.19007249999999</v>
      </c>
    </row>
    <row r="50" spans="2:11" x14ac:dyDescent="0.45">
      <c r="C50" s="13" t="s">
        <v>16</v>
      </c>
      <c r="E50" s="32" t="s">
        <v>47</v>
      </c>
      <c r="F50" s="25">
        <v>0.4</v>
      </c>
      <c r="G50" s="25">
        <v>0.41</v>
      </c>
      <c r="H50" s="25">
        <v>0.42</v>
      </c>
      <c r="I50" s="25">
        <v>0.43</v>
      </c>
      <c r="J50" s="25">
        <v>0.44</v>
      </c>
      <c r="K50" s="25">
        <v>0.45</v>
      </c>
    </row>
    <row r="52" spans="2:11" x14ac:dyDescent="0.45">
      <c r="C52" s="2" t="s">
        <v>17</v>
      </c>
      <c r="E52" s="32" t="s">
        <v>50</v>
      </c>
      <c r="G52" s="9">
        <f>-G46*G53</f>
        <v>-33</v>
      </c>
      <c r="H52" s="9">
        <f t="shared" ref="H52:K52" si="3">-H46*H53</f>
        <v>-32.67</v>
      </c>
      <c r="I52" s="9">
        <f t="shared" si="3"/>
        <v>-31.481999999999999</v>
      </c>
      <c r="J52" s="9">
        <f t="shared" si="3"/>
        <v>-29.750489999999996</v>
      </c>
      <c r="K52" s="9">
        <f t="shared" si="3"/>
        <v>-27.767123999999999</v>
      </c>
    </row>
    <row r="53" spans="2:11" x14ac:dyDescent="0.45">
      <c r="C53" s="13" t="s">
        <v>24</v>
      </c>
      <c r="E53" s="32" t="s">
        <v>47</v>
      </c>
      <c r="G53" s="25">
        <v>0.12</v>
      </c>
      <c r="H53" s="25">
        <v>0.11</v>
      </c>
      <c r="I53" s="25">
        <v>0.1</v>
      </c>
      <c r="J53" s="25">
        <v>0.09</v>
      </c>
      <c r="K53" s="25">
        <v>0.08</v>
      </c>
    </row>
    <row r="54" spans="2:11" x14ac:dyDescent="0.45">
      <c r="G54" s="9"/>
      <c r="H54" s="9"/>
      <c r="I54" s="9"/>
      <c r="J54" s="9"/>
      <c r="K54" s="9"/>
    </row>
    <row r="55" spans="2:11" x14ac:dyDescent="0.45">
      <c r="C55" s="2" t="s">
        <v>18</v>
      </c>
      <c r="E55" s="32" t="s">
        <v>50</v>
      </c>
      <c r="G55" s="9">
        <f>-F79*$F$19</f>
        <v>-40</v>
      </c>
      <c r="H55" s="9">
        <f>-G79*$F$19</f>
        <v>-39.229500000000002</v>
      </c>
      <c r="I55" s="9">
        <f>-H79*$F$19</f>
        <v>-37.636555000000001</v>
      </c>
      <c r="J55" s="9">
        <f>-I79*$F$19</f>
        <v>-35.189377950000001</v>
      </c>
      <c r="K55" s="9">
        <f>-J79*$F$19</f>
        <v>-31.879881983499999</v>
      </c>
    </row>
    <row r="57" spans="2:11" x14ac:dyDescent="0.45">
      <c r="C57" s="2" t="s">
        <v>10</v>
      </c>
      <c r="E57" s="32" t="s">
        <v>50</v>
      </c>
      <c r="G57" s="9">
        <f>G49+G52+G55</f>
        <v>39.75</v>
      </c>
      <c r="H57" s="9">
        <f>H49+H52+H55</f>
        <v>52.840499999999992</v>
      </c>
      <c r="I57" s="9">
        <f>I49+I52+I55</f>
        <v>66.254045000000005</v>
      </c>
      <c r="J57" s="9">
        <f>J49+J52+J55</f>
        <v>80.506972049999973</v>
      </c>
      <c r="K57" s="9">
        <f>K49+K52+K55</f>
        <v>96.543066516499991</v>
      </c>
    </row>
    <row r="58" spans="2:11" x14ac:dyDescent="0.45">
      <c r="C58" s="13" t="s">
        <v>19</v>
      </c>
      <c r="E58" s="41" t="s">
        <v>50</v>
      </c>
      <c r="G58" s="9">
        <f>-G57*$K$13</f>
        <v>-9.9375</v>
      </c>
      <c r="H58" s="9">
        <f>-H57*$K$13</f>
        <v>-13.210124999999998</v>
      </c>
      <c r="I58" s="9">
        <f>-I57*$K$13</f>
        <v>-16.563511250000001</v>
      </c>
      <c r="J58" s="9">
        <f>-J57*$K$13</f>
        <v>-20.126743012499993</v>
      </c>
      <c r="K58" s="9">
        <f>-K57*$K$13</f>
        <v>-24.135766629124998</v>
      </c>
    </row>
    <row r="59" spans="2:11" x14ac:dyDescent="0.45">
      <c r="C59" s="17" t="s">
        <v>0</v>
      </c>
      <c r="D59" s="18"/>
      <c r="E59" s="32" t="s">
        <v>50</v>
      </c>
      <c r="F59" s="18"/>
      <c r="G59" s="19">
        <f>SUM(G57:G58)</f>
        <v>29.8125</v>
      </c>
      <c r="H59" s="19">
        <f t="shared" ref="H59:K59" si="4">SUM(H57:H58)</f>
        <v>39.630374999999994</v>
      </c>
      <c r="I59" s="19">
        <f t="shared" si="4"/>
        <v>49.69053375</v>
      </c>
      <c r="J59" s="19">
        <f t="shared" si="4"/>
        <v>60.38022903749998</v>
      </c>
      <c r="K59" s="19">
        <f t="shared" si="4"/>
        <v>72.40729988737499</v>
      </c>
    </row>
    <row r="61" spans="2:11" x14ac:dyDescent="0.45">
      <c r="B61" s="3" t="s">
        <v>20</v>
      </c>
      <c r="C61" s="4"/>
      <c r="D61" s="4"/>
      <c r="E61" s="34" t="str">
        <f>$E$5</f>
        <v>Units:</v>
      </c>
      <c r="F61" s="33" t="str">
        <f>$F$42</f>
        <v>Year 0</v>
      </c>
      <c r="G61" s="33" t="str">
        <f>$G$42</f>
        <v>Year 1</v>
      </c>
      <c r="H61" s="33" t="str">
        <f>$H$42</f>
        <v>Year 2</v>
      </c>
      <c r="I61" s="33" t="str">
        <f>$I$42</f>
        <v>Year 3</v>
      </c>
      <c r="J61" s="33" t="str">
        <f>$J$42</f>
        <v>Year 4</v>
      </c>
      <c r="K61" s="33" t="str">
        <f>$K$42</f>
        <v>Year 5</v>
      </c>
    </row>
    <row r="62" spans="2:11" x14ac:dyDescent="0.45">
      <c r="B62" s="51"/>
      <c r="C62" s="52"/>
      <c r="D62" s="52"/>
      <c r="E62" s="52"/>
      <c r="F62" s="53"/>
      <c r="G62" s="53"/>
      <c r="H62" s="53"/>
      <c r="I62" s="53"/>
      <c r="J62" s="53"/>
      <c r="K62" s="53"/>
    </row>
    <row r="63" spans="2:11" x14ac:dyDescent="0.45">
      <c r="C63" s="2" t="s">
        <v>0</v>
      </c>
      <c r="E63" s="32" t="s">
        <v>50</v>
      </c>
      <c r="G63" s="7">
        <f>G59</f>
        <v>29.8125</v>
      </c>
      <c r="H63" s="7">
        <f t="shared" ref="H63:K63" si="5">H59</f>
        <v>39.630374999999994</v>
      </c>
      <c r="I63" s="7">
        <f t="shared" si="5"/>
        <v>49.69053375</v>
      </c>
      <c r="J63" s="7">
        <f t="shared" si="5"/>
        <v>60.38022903749998</v>
      </c>
      <c r="K63" s="7">
        <f t="shared" si="5"/>
        <v>72.40729988737499</v>
      </c>
    </row>
    <row r="65" spans="3:11" x14ac:dyDescent="0.45">
      <c r="C65" s="2" t="s">
        <v>21</v>
      </c>
      <c r="E65" s="32" t="s">
        <v>50</v>
      </c>
      <c r="G65" s="9">
        <f>-G52</f>
        <v>33</v>
      </c>
      <c r="H65" s="9">
        <f>-H52</f>
        <v>32.67</v>
      </c>
      <c r="I65" s="9">
        <f>-I52</f>
        <v>31.481999999999999</v>
      </c>
      <c r="J65" s="9">
        <f>-J52</f>
        <v>29.750489999999996</v>
      </c>
      <c r="K65" s="9">
        <f>-K52</f>
        <v>27.767123999999999</v>
      </c>
    </row>
    <row r="66" spans="3:11" x14ac:dyDescent="0.45">
      <c r="C66" s="2" t="s">
        <v>22</v>
      </c>
      <c r="E66" s="32" t="s">
        <v>50</v>
      </c>
      <c r="G66" s="9">
        <f>(G46-F46)*G67</f>
        <v>-2.5</v>
      </c>
      <c r="H66" s="9">
        <f>(H46-G46)*H67</f>
        <v>-1.1000000000000001</v>
      </c>
      <c r="I66" s="9">
        <f>(I46-H46)*I67</f>
        <v>0</v>
      </c>
      <c r="J66" s="9">
        <f>(J46-I46)*J67</f>
        <v>0.39352499999999968</v>
      </c>
      <c r="K66" s="9">
        <f>(K46-J46)*K67</f>
        <v>0.82640250000000037</v>
      </c>
    </row>
    <row r="67" spans="3:11" x14ac:dyDescent="0.45">
      <c r="C67" s="13" t="s">
        <v>25</v>
      </c>
      <c r="E67" s="32" t="s">
        <v>47</v>
      </c>
      <c r="G67" s="25">
        <v>-0.1</v>
      </c>
      <c r="H67" s="25">
        <v>-0.05</v>
      </c>
      <c r="I67" s="25">
        <v>0</v>
      </c>
      <c r="J67" s="25">
        <v>2.5000000000000001E-2</v>
      </c>
      <c r="K67" s="25">
        <v>0.05</v>
      </c>
    </row>
    <row r="68" spans="3:11" x14ac:dyDescent="0.45">
      <c r="G68" s="9"/>
      <c r="H68" s="9"/>
      <c r="I68" s="9"/>
      <c r="J68" s="9"/>
      <c r="K68" s="9"/>
    </row>
    <row r="69" spans="3:11" x14ac:dyDescent="0.45">
      <c r="C69" s="2" t="s">
        <v>23</v>
      </c>
      <c r="E69" s="32" t="s">
        <v>50</v>
      </c>
      <c r="G69" s="9">
        <f>-G70*G46</f>
        <v>-38.500000000000007</v>
      </c>
      <c r="H69" s="9">
        <f t="shared" ref="H69:K69" si="6">-H70*H46</f>
        <v>-38.61</v>
      </c>
      <c r="I69" s="9">
        <f t="shared" si="6"/>
        <v>-37.778399999999998</v>
      </c>
      <c r="J69" s="9">
        <f t="shared" si="6"/>
        <v>-36.361709999999995</v>
      </c>
      <c r="K69" s="9">
        <f t="shared" si="6"/>
        <v>-34.708905000000001</v>
      </c>
    </row>
    <row r="70" spans="3:11" x14ac:dyDescent="0.45">
      <c r="C70" s="13" t="s">
        <v>24</v>
      </c>
      <c r="E70" s="32" t="s">
        <v>47</v>
      </c>
      <c r="G70" s="25">
        <v>0.14000000000000001</v>
      </c>
      <c r="H70" s="25">
        <v>0.13</v>
      </c>
      <c r="I70" s="25">
        <v>0.12</v>
      </c>
      <c r="J70" s="25">
        <v>0.11</v>
      </c>
      <c r="K70" s="25">
        <v>0.1</v>
      </c>
    </row>
    <row r="71" spans="3:11" x14ac:dyDescent="0.45">
      <c r="G71" s="12"/>
      <c r="H71" s="12"/>
      <c r="I71" s="12"/>
      <c r="J71" s="12"/>
      <c r="K71" s="12"/>
    </row>
    <row r="72" spans="3:11" x14ac:dyDescent="0.45">
      <c r="C72" s="13" t="s">
        <v>26</v>
      </c>
      <c r="E72" s="32" t="s">
        <v>50</v>
      </c>
      <c r="G72" s="9">
        <f>F80</f>
        <v>20</v>
      </c>
      <c r="H72" s="9">
        <f t="shared" ref="H72:K72" si="7">G80</f>
        <v>32.181249999999999</v>
      </c>
      <c r="I72" s="9">
        <f t="shared" si="7"/>
        <v>44.859812500000004</v>
      </c>
      <c r="J72" s="9">
        <f t="shared" si="7"/>
        <v>57.664233125000003</v>
      </c>
      <c r="K72" s="9">
        <f t="shared" si="7"/>
        <v>70.458067581249992</v>
      </c>
    </row>
    <row r="73" spans="3:11" x14ac:dyDescent="0.45">
      <c r="C73" s="13" t="s">
        <v>27</v>
      </c>
      <c r="E73" s="32" t="s">
        <v>50</v>
      </c>
      <c r="G73" s="9">
        <f>G63+G65+G66+G69</f>
        <v>21.812499999999993</v>
      </c>
      <c r="H73" s="9">
        <f t="shared" ref="H73:K73" si="8">H63+H65+H66+H69</f>
        <v>32.590375000000009</v>
      </c>
      <c r="I73" s="9">
        <f t="shared" si="8"/>
        <v>43.394133750000002</v>
      </c>
      <c r="J73" s="9">
        <f t="shared" si="8"/>
        <v>54.162534037499974</v>
      </c>
      <c r="K73" s="9">
        <f t="shared" si="8"/>
        <v>66.291921387374984</v>
      </c>
    </row>
    <row r="74" spans="3:11" x14ac:dyDescent="0.45">
      <c r="C74" s="13" t="s">
        <v>28</v>
      </c>
      <c r="E74" s="41" t="s">
        <v>50</v>
      </c>
      <c r="G74" s="9">
        <f>-G49*$K$12</f>
        <v>-22.55</v>
      </c>
      <c r="H74" s="9">
        <f>-H49*$K$12</f>
        <v>-24.948</v>
      </c>
      <c r="I74" s="9">
        <f>-I49*$K$12</f>
        <v>-27.074520000000003</v>
      </c>
      <c r="J74" s="9">
        <f>-J49*$K$12</f>
        <v>-29.089367999999997</v>
      </c>
      <c r="K74" s="9">
        <f>-K49*$K$12</f>
        <v>-31.238014499999998</v>
      </c>
    </row>
    <row r="75" spans="3:11" x14ac:dyDescent="0.45">
      <c r="C75" s="17" t="s">
        <v>29</v>
      </c>
      <c r="D75" s="18"/>
      <c r="E75" s="32" t="s">
        <v>50</v>
      </c>
      <c r="F75" s="18"/>
      <c r="G75" s="23">
        <f>SUM(G72:G74)</f>
        <v>19.262499999999992</v>
      </c>
      <c r="H75" s="23">
        <f t="shared" ref="H75:K75" si="9">SUM(H72:H74)</f>
        <v>39.823625</v>
      </c>
      <c r="I75" s="23">
        <f t="shared" si="9"/>
        <v>61.179426250000006</v>
      </c>
      <c r="J75" s="23">
        <f t="shared" si="9"/>
        <v>82.737399162499983</v>
      </c>
      <c r="K75" s="23">
        <f t="shared" si="9"/>
        <v>105.51197446862497</v>
      </c>
    </row>
    <row r="76" spans="3:11" x14ac:dyDescent="0.45">
      <c r="G76" s="12"/>
      <c r="H76" s="12"/>
      <c r="I76" s="12"/>
      <c r="J76" s="12"/>
      <c r="K76" s="12"/>
    </row>
    <row r="77" spans="3:11" x14ac:dyDescent="0.45">
      <c r="C77" s="2" t="s">
        <v>13</v>
      </c>
      <c r="E77" s="32" t="s">
        <v>50</v>
      </c>
      <c r="G77" s="9">
        <f>IF(G75&gt;0,MIN(F79,G75*$F$20),G75)</f>
        <v>9.6312499999999961</v>
      </c>
      <c r="H77" s="9">
        <f t="shared" ref="H77:K77" si="10">IF(H75&gt;0,MIN(G79,H75*$F$20),H75)</f>
        <v>19.9118125</v>
      </c>
      <c r="I77" s="9">
        <f t="shared" si="10"/>
        <v>30.589713125000003</v>
      </c>
      <c r="J77" s="9">
        <f t="shared" si="10"/>
        <v>41.368699581249992</v>
      </c>
      <c r="K77" s="9">
        <f t="shared" si="10"/>
        <v>52.755987234312485</v>
      </c>
    </row>
    <row r="79" spans="3:11" x14ac:dyDescent="0.45">
      <c r="C79" s="2" t="s">
        <v>1</v>
      </c>
      <c r="E79" s="32" t="s">
        <v>50</v>
      </c>
      <c r="F79" s="9">
        <f>F18</f>
        <v>500</v>
      </c>
      <c r="G79" s="9">
        <f>F79-G77</f>
        <v>490.36874999999998</v>
      </c>
      <c r="H79" s="9">
        <f t="shared" ref="H79:K79" si="11">G79-H77</f>
        <v>470.45693749999998</v>
      </c>
      <c r="I79" s="9">
        <f t="shared" si="11"/>
        <v>439.86722437499998</v>
      </c>
      <c r="J79" s="9">
        <f t="shared" si="11"/>
        <v>398.49852479374999</v>
      </c>
      <c r="K79" s="9">
        <f t="shared" si="11"/>
        <v>345.74253755943749</v>
      </c>
    </row>
    <row r="80" spans="3:11" x14ac:dyDescent="0.45">
      <c r="C80" s="2" t="s">
        <v>12</v>
      </c>
      <c r="E80" s="32" t="s">
        <v>50</v>
      </c>
      <c r="F80" s="9">
        <f>K37</f>
        <v>20</v>
      </c>
      <c r="G80" s="9">
        <f>F80+(G73-G77)</f>
        <v>32.181249999999999</v>
      </c>
      <c r="H80" s="9">
        <f t="shared" ref="H80:K80" si="12">G80+(H73-H77)</f>
        <v>44.859812500000004</v>
      </c>
      <c r="I80" s="9">
        <f t="shared" si="12"/>
        <v>57.664233125000003</v>
      </c>
      <c r="J80" s="9">
        <f t="shared" si="12"/>
        <v>70.458067581249992</v>
      </c>
      <c r="K80" s="9">
        <f t="shared" si="12"/>
        <v>83.994001734312491</v>
      </c>
    </row>
    <row r="81" spans="2:11" x14ac:dyDescent="0.45">
      <c r="C81" s="2" t="s">
        <v>33</v>
      </c>
      <c r="E81" s="32" t="s">
        <v>50</v>
      </c>
      <c r="F81" s="9">
        <f>F35</f>
        <v>396.96343081873522</v>
      </c>
      <c r="G81" s="9">
        <f>F81+G63</f>
        <v>426.77593081873522</v>
      </c>
      <c r="H81" s="9">
        <f t="shared" ref="H81:K81" si="13">G81+H63</f>
        <v>466.40630581873523</v>
      </c>
      <c r="I81" s="9">
        <f t="shared" si="13"/>
        <v>516.09683956873528</v>
      </c>
      <c r="J81" s="9">
        <f t="shared" si="13"/>
        <v>576.47706860623521</v>
      </c>
      <c r="K81" s="9">
        <f t="shared" si="13"/>
        <v>648.88436849361017</v>
      </c>
    </row>
    <row r="82" spans="2:11" x14ac:dyDescent="0.45">
      <c r="F82" s="9"/>
    </row>
    <row r="83" spans="2:11" x14ac:dyDescent="0.45">
      <c r="C83" s="2" t="s">
        <v>34</v>
      </c>
      <c r="E83" s="32" t="s">
        <v>50</v>
      </c>
      <c r="F83" s="9">
        <f>F81+F79</f>
        <v>896.96343081873522</v>
      </c>
      <c r="G83" s="9">
        <f t="shared" ref="G83:K83" si="14">G81+G79</f>
        <v>917.1446808187352</v>
      </c>
      <c r="H83" s="9">
        <f t="shared" si="14"/>
        <v>936.86324331873516</v>
      </c>
      <c r="I83" s="9">
        <f t="shared" si="14"/>
        <v>955.96406394373525</v>
      </c>
      <c r="J83" s="9">
        <f t="shared" si="14"/>
        <v>974.9755933999852</v>
      </c>
      <c r="K83" s="9">
        <f t="shared" si="14"/>
        <v>994.62690605304761</v>
      </c>
    </row>
    <row r="84" spans="2:11" x14ac:dyDescent="0.45">
      <c r="C84" s="2" t="s">
        <v>35</v>
      </c>
      <c r="E84" s="32" t="s">
        <v>50</v>
      </c>
      <c r="G84" s="7">
        <f>(G49+G52)*(1-$K$13)</f>
        <v>59.8125</v>
      </c>
      <c r="H84" s="7">
        <f>(H49+H52)*(1-$K$13)</f>
        <v>69.052499999999995</v>
      </c>
      <c r="I84" s="7">
        <f>(I49+I52)*(1-$K$13)</f>
        <v>77.917950000000005</v>
      </c>
      <c r="J84" s="7">
        <f>(J49+J52)*(1-$K$13)</f>
        <v>86.772262499999982</v>
      </c>
      <c r="K84" s="7">
        <f>(K49+K52)*(1-$K$13)</f>
        <v>96.317211374999999</v>
      </c>
    </row>
    <row r="85" spans="2:11" x14ac:dyDescent="0.45">
      <c r="C85" s="21" t="s">
        <v>36</v>
      </c>
      <c r="E85" s="32" t="s">
        <v>47</v>
      </c>
      <c r="G85" s="58">
        <f>G84/AVERAGE(F83,G83)</f>
        <v>6.5941494463647346E-2</v>
      </c>
      <c r="H85" s="58">
        <f t="shared" ref="H85:K85" si="15">H84/AVERAGE(G83,H83)</f>
        <v>7.4489972886307806E-2</v>
      </c>
      <c r="I85" s="58">
        <f t="shared" si="15"/>
        <v>8.2329697697240009E-2</v>
      </c>
      <c r="J85" s="58">
        <f t="shared" si="15"/>
        <v>8.9875685312059361E-2</v>
      </c>
      <c r="K85" s="58">
        <f t="shared" si="15"/>
        <v>9.7803705470263888E-2</v>
      </c>
    </row>
    <row r="86" spans="2:11" x14ac:dyDescent="0.45">
      <c r="K86" s="9"/>
    </row>
    <row r="87" spans="2:11" x14ac:dyDescent="0.45">
      <c r="B87" s="3" t="s">
        <v>66</v>
      </c>
      <c r="C87" s="4"/>
      <c r="D87" s="4"/>
      <c r="E87" s="34" t="str">
        <f>$E$5</f>
        <v>Units:</v>
      </c>
      <c r="F87" s="33" t="str">
        <f>$F$42</f>
        <v>Year 0</v>
      </c>
      <c r="G87" s="33" t="str">
        <f>$G$42</f>
        <v>Year 1</v>
      </c>
      <c r="H87" s="33" t="str">
        <f>$H$42</f>
        <v>Year 2</v>
      </c>
      <c r="I87" s="33" t="str">
        <f>$I$42</f>
        <v>Year 3</v>
      </c>
      <c r="J87" s="33" t="str">
        <f>$J$42</f>
        <v>Year 4</v>
      </c>
      <c r="K87" s="33" t="str">
        <f>$K$42</f>
        <v>Year 5</v>
      </c>
    </row>
    <row r="88" spans="2:11" x14ac:dyDescent="0.45">
      <c r="K88" s="9"/>
    </row>
    <row r="89" spans="2:11" x14ac:dyDescent="0.45">
      <c r="C89" s="1" t="s">
        <v>3</v>
      </c>
      <c r="E89" s="32" t="s">
        <v>50</v>
      </c>
      <c r="G89" s="16">
        <f>G49</f>
        <v>112.75</v>
      </c>
      <c r="H89" s="16">
        <f t="shared" ref="H89:K89" si="16">H49</f>
        <v>124.74</v>
      </c>
      <c r="I89" s="16">
        <f t="shared" si="16"/>
        <v>135.37260000000001</v>
      </c>
      <c r="J89" s="16">
        <f t="shared" si="16"/>
        <v>145.44683999999998</v>
      </c>
      <c r="K89" s="16">
        <f t="shared" si="16"/>
        <v>156.19007249999999</v>
      </c>
    </row>
    <row r="90" spans="2:11" x14ac:dyDescent="0.45">
      <c r="C90" s="47" t="s">
        <v>59</v>
      </c>
      <c r="D90" s="14"/>
      <c r="E90" s="41" t="s">
        <v>53</v>
      </c>
      <c r="F90" s="14"/>
      <c r="G90" s="48">
        <f>$K$10</f>
        <v>8</v>
      </c>
      <c r="H90" s="48">
        <f t="shared" ref="H90:K90" si="17">$K$10</f>
        <v>8</v>
      </c>
      <c r="I90" s="48">
        <f t="shared" si="17"/>
        <v>8</v>
      </c>
      <c r="J90" s="48">
        <f t="shared" si="17"/>
        <v>8</v>
      </c>
      <c r="K90" s="48">
        <f t="shared" si="17"/>
        <v>8</v>
      </c>
    </row>
    <row r="91" spans="2:11" x14ac:dyDescent="0.45">
      <c r="C91" s="1" t="s">
        <v>11</v>
      </c>
      <c r="E91" s="32" t="s">
        <v>50</v>
      </c>
      <c r="G91" s="23">
        <f>G90*G89</f>
        <v>902</v>
      </c>
      <c r="H91" s="23">
        <f t="shared" ref="H91:K91" si="18">H90*H89</f>
        <v>997.92</v>
      </c>
      <c r="I91" s="23">
        <f t="shared" si="18"/>
        <v>1082.9808</v>
      </c>
      <c r="J91" s="23">
        <f t="shared" si="18"/>
        <v>1163.5747199999998</v>
      </c>
      <c r="K91" s="23">
        <f t="shared" si="18"/>
        <v>1249.5205799999999</v>
      </c>
    </row>
    <row r="92" spans="2:11" x14ac:dyDescent="0.45">
      <c r="C92" s="47" t="s">
        <v>60</v>
      </c>
      <c r="D92" s="14"/>
      <c r="E92" s="41" t="s">
        <v>50</v>
      </c>
      <c r="F92" s="14"/>
      <c r="G92" s="15">
        <f>-G79+G80</f>
        <v>-458.1875</v>
      </c>
      <c r="H92" s="15">
        <f t="shared" ref="H92:K92" si="19">-H79+H80</f>
        <v>-425.59712500000001</v>
      </c>
      <c r="I92" s="15">
        <f t="shared" si="19"/>
        <v>-382.20299124999997</v>
      </c>
      <c r="J92" s="15">
        <f t="shared" si="19"/>
        <v>-328.04045721249997</v>
      </c>
      <c r="K92" s="15">
        <f t="shared" si="19"/>
        <v>-261.74853582512503</v>
      </c>
    </row>
    <row r="93" spans="2:11" x14ac:dyDescent="0.45">
      <c r="C93" s="1" t="s">
        <v>61</v>
      </c>
      <c r="E93" s="32" t="s">
        <v>50</v>
      </c>
      <c r="G93" s="16">
        <f>SUM(G91:G92)</f>
        <v>443.8125</v>
      </c>
      <c r="H93" s="16">
        <f t="shared" ref="H93:K93" si="20">SUM(H91:H92)</f>
        <v>572.32287499999995</v>
      </c>
      <c r="I93" s="16">
        <f t="shared" si="20"/>
        <v>700.77780875000008</v>
      </c>
      <c r="J93" s="16">
        <f t="shared" si="20"/>
        <v>835.53426278749987</v>
      </c>
      <c r="K93" s="16">
        <f t="shared" si="20"/>
        <v>987.77204417487485</v>
      </c>
    </row>
    <row r="94" spans="2:11" x14ac:dyDescent="0.45">
      <c r="K94" s="9"/>
    </row>
    <row r="95" spans="2:11" x14ac:dyDescent="0.45">
      <c r="C95" s="46" t="s">
        <v>14</v>
      </c>
      <c r="E95" s="32" t="s">
        <v>53</v>
      </c>
      <c r="G95" s="49">
        <f>G93/$F$35</f>
        <v>1.118018602077876</v>
      </c>
      <c r="H95" s="49">
        <f t="shared" ref="H95:K95" si="21">H93/$F$35</f>
        <v>1.4417521377714484</v>
      </c>
      <c r="I95" s="49">
        <f t="shared" si="21"/>
        <v>1.7653460100963183</v>
      </c>
      <c r="J95" s="49">
        <f t="shared" si="21"/>
        <v>2.1048141917360357</v>
      </c>
      <c r="K95" s="49">
        <f t="shared" si="21"/>
        <v>2.488319999999999</v>
      </c>
    </row>
    <row r="96" spans="2:11" x14ac:dyDescent="0.45">
      <c r="C96" s="46" t="s">
        <v>62</v>
      </c>
      <c r="E96" s="32" t="s">
        <v>47</v>
      </c>
      <c r="G96" s="50">
        <f>(G93/$F$35)^(1/G44)-1</f>
        <v>0.11801860207787596</v>
      </c>
      <c r="H96" s="50">
        <f>(H93/$F$35)^(1/H44)-1</f>
        <v>0.20072983546318546</v>
      </c>
      <c r="I96" s="50">
        <f>(I93/$F$35)^(1/I44)-1</f>
        <v>0.20858336818737699</v>
      </c>
      <c r="J96" s="50">
        <f>(J93/$F$35)^(1/J44)-1</f>
        <v>0.20449067148114675</v>
      </c>
      <c r="K96" s="50">
        <f>(K93/$F$35)^(1/K44)-1</f>
        <v>0.19999999999999996</v>
      </c>
    </row>
    <row r="97" spans="11:11" x14ac:dyDescent="0.45">
      <c r="K97" s="9"/>
    </row>
  </sheetData>
  <dataValidations count="2">
    <dataValidation type="list" allowBlank="1" showInputMessage="1" showErrorMessage="1" sqref="F8" xr:uid="{F44320AC-0C74-4B1F-89F3-206A42ADB262}">
      <formula1>$G$44:$K$44</formula1>
    </dataValidation>
    <dataValidation type="decimal" allowBlank="1" showInputMessage="1" showErrorMessage="1" sqref="F7" xr:uid="{CB18FE4A-2A07-4A3E-B4C0-7AE6F30D72BF}">
      <formula1>0</formula1>
      <formula2>1</formula2>
    </dataValidation>
  </dataValidations>
  <pageMargins left="0.7" right="0.7" top="0.75" bottom="0.75" header="0.3" footer="0.3"/>
  <pageSetup scale="63" orientation="portrait" r:id="rId1"/>
  <rowBreaks count="1" manualBreakCount="1">
    <brk id="60" max="11" man="1"/>
  </rowBreaks>
  <colBreaks count="1" manualBreakCount="1">
    <brk id="12" max="77" man="1"/>
  </colBreaks>
  <ignoredErrors>
    <ignoredError sqref="F84:K84 F8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LBO_Valuation</vt:lpstr>
      <vt:lpstr>LBO_Valuation!Print_Area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Brian DeChesare</cp:lastModifiedBy>
  <dcterms:created xsi:type="dcterms:W3CDTF">2014-04-29T19:37:43Z</dcterms:created>
  <dcterms:modified xsi:type="dcterms:W3CDTF">2026-03-11T02:45:01Z</dcterms:modified>
</cp:coreProperties>
</file>