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bdech\BIWS Dropbox\Brian DeChesare\BIWS-All-Courses\100-Bonus-Case-Studies\109-LBO-Models\109-28-LBO-Valuation\"/>
    </mc:Choice>
  </mc:AlternateContent>
  <xr:revisionPtr revIDLastSave="0" documentId="13_ncr:1_{B9503C4C-4C26-4903-8B04-976DA1BC201A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LBO_Valuation" sheetId="1" r:id="rId1"/>
  </sheets>
  <definedNames>
    <definedName name="_xlnm.Print_Area" localSheetId="0">LBO_Valuation!$A$1:$L$85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5" i="1" l="1"/>
  <c r="E49" i="1"/>
  <c r="E30" i="1" l="1"/>
  <c r="J19" i="1"/>
  <c r="E19" i="1"/>
  <c r="F30" i="1"/>
  <c r="G32" i="1"/>
  <c r="G30" i="1" s="1"/>
  <c r="H78" i="1"/>
  <c r="I78" i="1"/>
  <c r="J78" i="1"/>
  <c r="K78" i="1"/>
  <c r="G78" i="1"/>
  <c r="F75" i="1" l="1"/>
  <c r="F49" i="1"/>
  <c r="G75" i="1"/>
  <c r="G49" i="1"/>
  <c r="H32" i="1"/>
  <c r="F37" i="1"/>
  <c r="F15" i="1" s="1"/>
  <c r="F22" i="1" s="1"/>
  <c r="G34" i="1"/>
  <c r="F9" i="1"/>
  <c r="G57" i="1" l="1"/>
  <c r="G40" i="1"/>
  <c r="I32" i="1"/>
  <c r="H30" i="1"/>
  <c r="G54" i="1"/>
  <c r="G37" i="1"/>
  <c r="F67" i="1"/>
  <c r="H34" i="1"/>
  <c r="K25" i="1"/>
  <c r="F68" i="1" s="1"/>
  <c r="H57" i="1" l="1"/>
  <c r="H40" i="1"/>
  <c r="H49" i="1"/>
  <c r="H75" i="1"/>
  <c r="J32" i="1"/>
  <c r="I30" i="1"/>
  <c r="G77" i="1"/>
  <c r="G79" i="1" s="1"/>
  <c r="G60" i="1"/>
  <c r="H54" i="1"/>
  <c r="H37" i="1"/>
  <c r="I34" i="1"/>
  <c r="I57" i="1" l="1"/>
  <c r="I40" i="1"/>
  <c r="I75" i="1"/>
  <c r="I49" i="1"/>
  <c r="K32" i="1"/>
  <c r="K30" i="1" s="1"/>
  <c r="J30" i="1"/>
  <c r="H77" i="1"/>
  <c r="H79" i="1" s="1"/>
  <c r="J34" i="1"/>
  <c r="I54" i="1"/>
  <c r="I37" i="1"/>
  <c r="J57" i="1" l="1"/>
  <c r="J40" i="1"/>
  <c r="J75" i="1"/>
  <c r="J49" i="1"/>
  <c r="K49" i="1"/>
  <c r="K75" i="1"/>
  <c r="I77" i="1"/>
  <c r="I79" i="1" s="1"/>
  <c r="K34" i="1"/>
  <c r="J54" i="1"/>
  <c r="J37" i="1"/>
  <c r="J5" i="1"/>
  <c r="K57" i="1" l="1"/>
  <c r="K40" i="1"/>
  <c r="J77" i="1"/>
  <c r="J79" i="1" s="1"/>
  <c r="K54" i="1"/>
  <c r="K37" i="1"/>
  <c r="K77" i="1" s="1"/>
  <c r="K79" i="1" s="1"/>
  <c r="F12" i="1" l="1"/>
  <c r="K23" i="1" s="1"/>
  <c r="K24" i="1"/>
  <c r="K22" i="1"/>
  <c r="G43" i="1"/>
  <c r="G53" i="1"/>
  <c r="G45" i="1" l="1"/>
  <c r="G46" i="1" s="1"/>
  <c r="K26" i="1"/>
  <c r="F23" i="1" s="1"/>
  <c r="G62" i="1"/>
  <c r="G72" i="1"/>
  <c r="H53" i="1"/>
  <c r="G47" i="1" l="1"/>
  <c r="G51" i="1" s="1"/>
  <c r="G61" i="1" s="1"/>
  <c r="G63" i="1" s="1"/>
  <c r="G65" i="1" s="1"/>
  <c r="F24" i="1"/>
  <c r="K28" i="1" s="1"/>
  <c r="F69" i="1"/>
  <c r="H62" i="1"/>
  <c r="H72" i="1"/>
  <c r="I72" i="1"/>
  <c r="I53" i="1"/>
  <c r="G67" i="1" l="1"/>
  <c r="G68" i="1"/>
  <c r="G69" i="1"/>
  <c r="F71" i="1"/>
  <c r="I62" i="1"/>
  <c r="J53" i="1"/>
  <c r="H43" i="1" l="1"/>
  <c r="H45" i="1" s="1"/>
  <c r="G80" i="1"/>
  <c r="G81" i="1" s="1"/>
  <c r="H60" i="1"/>
  <c r="G71" i="1"/>
  <c r="J62" i="1"/>
  <c r="J72" i="1"/>
  <c r="K72" i="1"/>
  <c r="K53" i="1"/>
  <c r="G83" i="1" l="1"/>
  <c r="G84" i="1"/>
  <c r="G73" i="1"/>
  <c r="H46" i="1"/>
  <c r="H47" i="1" s="1"/>
  <c r="H51" i="1" s="1"/>
  <c r="K62" i="1"/>
  <c r="H61" i="1" l="1"/>
  <c r="H69" i="1"/>
  <c r="H63" i="1" l="1"/>
  <c r="H65" i="1" s="1"/>
  <c r="H68" i="1" l="1"/>
  <c r="I60" i="1" s="1"/>
  <c r="H67" i="1"/>
  <c r="I43" i="1" l="1"/>
  <c r="H71" i="1"/>
  <c r="H73" i="1" s="1"/>
  <c r="H80" i="1"/>
  <c r="H81" i="1" s="1"/>
  <c r="H83" i="1" s="1"/>
  <c r="I45" i="1"/>
  <c r="I46" i="1" s="1"/>
  <c r="I47" i="1" s="1"/>
  <c r="I51" i="1" s="1"/>
  <c r="I69" i="1" s="1"/>
  <c r="H84" i="1" l="1"/>
  <c r="I61" i="1"/>
  <c r="I63" i="1" s="1"/>
  <c r="I65" i="1" s="1"/>
  <c r="I68" i="1" l="1"/>
  <c r="J60" i="1" s="1"/>
  <c r="I67" i="1"/>
  <c r="J43" i="1" l="1"/>
  <c r="J45" i="1" s="1"/>
  <c r="I80" i="1"/>
  <c r="I81" i="1" s="1"/>
  <c r="I83" i="1" s="1"/>
  <c r="I71" i="1"/>
  <c r="I73" i="1" s="1"/>
  <c r="I84" i="1" l="1"/>
  <c r="J46" i="1"/>
  <c r="J47" i="1" s="1"/>
  <c r="J51" i="1" s="1"/>
  <c r="J61" i="1" l="1"/>
  <c r="J63" i="1" s="1"/>
  <c r="J65" i="1" s="1"/>
  <c r="J69" i="1"/>
  <c r="J68" i="1" l="1"/>
  <c r="K60" i="1" s="1"/>
  <c r="J67" i="1"/>
  <c r="K43" i="1" l="1"/>
  <c r="J80" i="1"/>
  <c r="J81" i="1" s="1"/>
  <c r="J71" i="1"/>
  <c r="J73" i="1" s="1"/>
  <c r="J83" i="1" l="1"/>
  <c r="J84" i="1"/>
  <c r="K45" i="1"/>
  <c r="K46" i="1" s="1"/>
  <c r="K47" i="1" s="1"/>
  <c r="K51" i="1" s="1"/>
  <c r="K61" i="1" l="1"/>
  <c r="K63" i="1" s="1"/>
  <c r="K65" i="1" s="1"/>
  <c r="K69" i="1"/>
  <c r="K68" i="1" l="1"/>
  <c r="K67" i="1"/>
  <c r="K71" i="1" s="1"/>
  <c r="K73" i="1" s="1"/>
  <c r="K80" i="1" l="1"/>
  <c r="K81" i="1" s="1"/>
  <c r="K84" i="1" l="1"/>
  <c r="K83" i="1"/>
</calcChain>
</file>

<file path=xl/sharedStrings.xml><?xml version="1.0" encoding="utf-8"?>
<sst xmlns="http://schemas.openxmlformats.org/spreadsheetml/2006/main" count="127" uniqueCount="69">
  <si>
    <t>Net Income:</t>
  </si>
  <si>
    <t>Debt Balance:</t>
  </si>
  <si>
    <t>EBITDA Exit Multiple:</t>
  </si>
  <si>
    <t>EBITDA:</t>
  </si>
  <si>
    <t>Tax Rate:</t>
  </si>
  <si>
    <t>($ in Millions)</t>
  </si>
  <si>
    <t>Debt Used:</t>
  </si>
  <si>
    <t>Income Statement:</t>
  </si>
  <si>
    <t>Revenue:</t>
  </si>
  <si>
    <t>Interest Rate:</t>
  </si>
  <si>
    <t>Pre-Tax Income:</t>
  </si>
  <si>
    <t>EBITDA Purchase Multiple:</t>
  </si>
  <si>
    <t>Exit Enterprise Value:</t>
  </si>
  <si>
    <t>Cash Balance:</t>
  </si>
  <si>
    <t>Cash Flow Used for Debt Repayment:</t>
  </si>
  <si>
    <t>Money-on-Money (MoM) Multiple:</t>
  </si>
  <si>
    <t>Growth Rate:</t>
  </si>
  <si>
    <t>Margin:</t>
  </si>
  <si>
    <t>(-) Depreciation &amp; Amortization:</t>
  </si>
  <si>
    <t>(-) Interest Expense:</t>
  </si>
  <si>
    <t>(-) Taxes:</t>
  </si>
  <si>
    <t>Cash Flow and Debt Repayment:</t>
  </si>
  <si>
    <t>(+) Depreciation &amp; Amortization:</t>
  </si>
  <si>
    <t>(+/-) Change in Working Capital:</t>
  </si>
  <si>
    <t>(-) CapEx:</t>
  </si>
  <si>
    <t>% of Revenue:</t>
  </si>
  <si>
    <t>% of Change in Revenue:</t>
  </si>
  <si>
    <t>(+) Beginning Cash Balance:</t>
  </si>
  <si>
    <t>(+) Free Cash Flow:</t>
  </si>
  <si>
    <t>(-) Minimum Cash Balance:</t>
  </si>
  <si>
    <t>Cash Flow Available for Debt Repayment:</t>
  </si>
  <si>
    <t>Minimum Cash % EBITDA:</t>
  </si>
  <si>
    <t>(-) Debt:</t>
  </si>
  <si>
    <t>(+) Cash:</t>
  </si>
  <si>
    <t>Equity Balance:</t>
  </si>
  <si>
    <t>Invested Capital:</t>
  </si>
  <si>
    <t>NOPAT:</t>
  </si>
  <si>
    <t>Return on Invested Capital (ROIC):</t>
  </si>
  <si>
    <t>Purchase Enterprise Value:</t>
  </si>
  <si>
    <t>Sources &amp; Uses:</t>
  </si>
  <si>
    <t>Uses:</t>
  </si>
  <si>
    <t>Transaction Fees:</t>
  </si>
  <si>
    <t>Financing Fees:</t>
  </si>
  <si>
    <t>Total Uses:</t>
  </si>
  <si>
    <t>CHECK:</t>
  </si>
  <si>
    <t>Sources:</t>
  </si>
  <si>
    <t>Total Sources:</t>
  </si>
  <si>
    <t>Advisory Fee %:</t>
  </si>
  <si>
    <t>%</t>
  </si>
  <si>
    <t>Debt Issuance Fee %:</t>
  </si>
  <si>
    <t>Legal and Other Fees:</t>
  </si>
  <si>
    <t>$ M</t>
  </si>
  <si>
    <t>Transaction Assumptions:</t>
  </si>
  <si>
    <t>Units:</t>
  </si>
  <si>
    <t>x</t>
  </si>
  <si>
    <t>Leverage Ratio:</t>
  </si>
  <si>
    <t>Investor Equity:</t>
  </si>
  <si>
    <t>Purchase Equity Value:</t>
  </si>
  <si>
    <t>New Debt Issued:</t>
  </si>
  <si>
    <t>Minimum Cash:</t>
  </si>
  <si>
    <t>(x) Exit Multiple:</t>
  </si>
  <si>
    <t>(-) Net Debt:</t>
  </si>
  <si>
    <t>Exit Equity Proceeds:</t>
  </si>
  <si>
    <t>Internal Rate of Return (IRR):</t>
  </si>
  <si>
    <t>Year #:</t>
  </si>
  <si>
    <t>#</t>
  </si>
  <si>
    <t>Cash Flow Sweep:</t>
  </si>
  <si>
    <t>Equity Returns:</t>
  </si>
  <si>
    <t>Simple LBO Model - LBO 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</si>
</sst>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1" formatCode="_(* #,##0_);_(* \(#,##0\);_(* &quot;-&quot;_);_(@_)"/>
    <numFmt numFmtId="164" formatCode="0.0\ \x"/>
    <numFmt numFmtId="165" formatCode="_(* #,##0.0_);_(* \(#,##0.0\);_(* &quot;-&quot;?_);_(@_)"/>
    <numFmt numFmtId="166" formatCode="0.0%;\(0.0%\)"/>
    <numFmt numFmtId="167" formatCode="_(* #,##0_);_(* \(#,##0\);_(* &quot;-&quot;?_);_(@_)"/>
    <numFmt numFmtId="168" formatCode="0%;\(0%\)"/>
    <numFmt numFmtId="169" formatCode="&quot;$&quot;#,##0.0_);\(&quot;$&quot;#,##0.0\);&quot;OK!&quot;;&quot;ERROR&quot;"/>
    <numFmt numFmtId="170" formatCode="_(&quot;$&quot;* #,##0_);_(&quot;$&quot;* \(#,##0\);_(&quot;$&quot;* &quot;-&quot;?_);_(@_)"/>
    <numFmt numFmtId="171" formatCode="_(* #,##0.0%;_(* \(#,##0.0%\);_(* &quot;- %&quot;_);_(* @_%_)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u/>
      <sz val="12"/>
      <color indexed="9"/>
      <name val="Calibri"/>
      <family val="2"/>
      <scheme val="minor"/>
    </font>
    <font>
      <u/>
      <sz val="12"/>
      <color indexed="9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rgb="FF0000FF"/>
      <name val="Calibri"/>
      <family val="2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i/>
      <sz val="12"/>
      <color indexed="9"/>
      <name val="Calibri"/>
      <family val="2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1F497D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3" fillId="2" borderId="3" applyNumberFormat="0" applyFont="0" applyAlignment="0" applyProtection="0"/>
    <xf numFmtId="0" fontId="14" fillId="0" borderId="0"/>
  </cellStyleXfs>
  <cellXfs count="59">
    <xf numFmtId="0" fontId="0" fillId="0" borderId="0" xfId="0"/>
    <xf numFmtId="0" fontId="4" fillId="0" borderId="0" xfId="0" applyFont="1"/>
    <xf numFmtId="0" fontId="5" fillId="0" borderId="0" xfId="0" applyFont="1"/>
    <xf numFmtId="0" fontId="6" fillId="5" borderId="2" xfId="0" applyFont="1" applyFill="1" applyBorder="1" applyAlignment="1">
      <alignment horizontal="left"/>
    </xf>
    <xf numFmtId="0" fontId="7" fillId="5" borderId="2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/>
    </xf>
    <xf numFmtId="164" fontId="9" fillId="4" borderId="3" xfId="0" applyNumberFormat="1" applyFont="1" applyFill="1" applyBorder="1" applyAlignment="1">
      <alignment horizontal="center"/>
    </xf>
    <xf numFmtId="42" fontId="5" fillId="0" borderId="0" xfId="0" applyNumberFormat="1" applyFont="1"/>
    <xf numFmtId="166" fontId="10" fillId="4" borderId="3" xfId="1" applyNumberFormat="1" applyFont="1" applyFill="1" applyAlignment="1">
      <alignment horizontal="center"/>
    </xf>
    <xf numFmtId="41" fontId="5" fillId="0" borderId="0" xfId="0" applyNumberFormat="1" applyFont="1"/>
    <xf numFmtId="42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5" fontId="5" fillId="0" borderId="0" xfId="0" applyNumberFormat="1" applyFont="1"/>
    <xf numFmtId="0" fontId="5" fillId="0" borderId="0" xfId="0" applyFont="1" applyAlignment="1">
      <alignment horizontal="left" indent="1"/>
    </xf>
    <xf numFmtId="0" fontId="5" fillId="0" borderId="2" xfId="0" applyFont="1" applyBorder="1"/>
    <xf numFmtId="41" fontId="5" fillId="0" borderId="2" xfId="0" applyNumberFormat="1" applyFont="1" applyBorder="1"/>
    <xf numFmtId="42" fontId="4" fillId="0" borderId="0" xfId="0" applyNumberFormat="1" applyFont="1"/>
    <xf numFmtId="0" fontId="4" fillId="0" borderId="1" xfId="0" applyFont="1" applyBorder="1"/>
    <xf numFmtId="0" fontId="5" fillId="0" borderId="1" xfId="0" applyFont="1" applyBorder="1"/>
    <xf numFmtId="42" fontId="4" fillId="0" borderId="1" xfId="0" applyNumberFormat="1" applyFont="1" applyBorder="1"/>
    <xf numFmtId="0" fontId="11" fillId="0" borderId="0" xfId="0" applyFont="1"/>
    <xf numFmtId="0" fontId="12" fillId="0" borderId="0" xfId="0" applyFont="1" applyAlignment="1">
      <alignment horizontal="left" indent="1"/>
    </xf>
    <xf numFmtId="42" fontId="9" fillId="0" borderId="0" xfId="0" applyNumberFormat="1" applyFont="1" applyAlignment="1">
      <alignment horizontal="center"/>
    </xf>
    <xf numFmtId="167" fontId="4" fillId="0" borderId="1" xfId="0" applyNumberFormat="1" applyFont="1" applyBorder="1"/>
    <xf numFmtId="41" fontId="9" fillId="4" borderId="3" xfId="1" applyNumberFormat="1" applyFont="1" applyFill="1"/>
    <xf numFmtId="168" fontId="10" fillId="4" borderId="3" xfId="1" applyNumberFormat="1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1"/>
    </xf>
    <xf numFmtId="0" fontId="4" fillId="0" borderId="1" xfId="0" applyFont="1" applyBorder="1" applyAlignment="1">
      <alignment horizontal="left"/>
    </xf>
    <xf numFmtId="0" fontId="2" fillId="0" borderId="1" xfId="0" applyFont="1" applyBorder="1"/>
    <xf numFmtId="169" fontId="4" fillId="0" borderId="0" xfId="0" applyNumberFormat="1" applyFont="1" applyAlignment="1">
      <alignment horizontal="center"/>
    </xf>
    <xf numFmtId="0" fontId="2" fillId="0" borderId="2" xfId="0" applyFont="1" applyBorder="1"/>
    <xf numFmtId="0" fontId="12" fillId="0" borderId="0" xfId="0" applyFont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15" fillId="5" borderId="2" xfId="0" applyFont="1" applyFill="1" applyBorder="1" applyAlignment="1">
      <alignment horizontal="center"/>
    </xf>
    <xf numFmtId="166" fontId="10" fillId="0" borderId="0" xfId="1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170" fontId="2" fillId="0" borderId="0" xfId="0" applyNumberFormat="1" applyFont="1"/>
    <xf numFmtId="167" fontId="13" fillId="0" borderId="0" xfId="2" applyNumberFormat="1" applyFont="1"/>
    <xf numFmtId="170" fontId="4" fillId="0" borderId="1" xfId="0" applyNumberFormat="1" applyFont="1" applyBorder="1"/>
    <xf numFmtId="170" fontId="10" fillId="4" borderId="3" xfId="1" applyNumberFormat="1" applyFont="1" applyFill="1" applyAlignment="1"/>
    <xf numFmtId="0" fontId="12" fillId="0" borderId="2" xfId="0" applyFont="1" applyBorder="1" applyAlignment="1">
      <alignment horizontal="center"/>
    </xf>
    <xf numFmtId="41" fontId="4" fillId="0" borderId="1" xfId="0" applyNumberFormat="1" applyFont="1" applyBorder="1"/>
    <xf numFmtId="0" fontId="4" fillId="0" borderId="0" xfId="0" applyFont="1" applyAlignment="1">
      <alignment horizontal="left"/>
    </xf>
    <xf numFmtId="170" fontId="4" fillId="0" borderId="0" xfId="0" applyNumberFormat="1" applyFont="1"/>
    <xf numFmtId="0" fontId="1" fillId="0" borderId="0" xfId="0" applyFont="1" applyAlignment="1">
      <alignment horizontal="left" indent="1"/>
    </xf>
    <xf numFmtId="0" fontId="1" fillId="0" borderId="0" xfId="0" applyFont="1"/>
    <xf numFmtId="0" fontId="1" fillId="0" borderId="2" xfId="0" applyFont="1" applyBorder="1" applyAlignment="1">
      <alignment horizontal="left" indent="1"/>
    </xf>
    <xf numFmtId="164" fontId="5" fillId="0" borderId="2" xfId="0" applyNumberFormat="1" applyFont="1" applyBorder="1"/>
    <xf numFmtId="164" fontId="1" fillId="0" borderId="0" xfId="0" applyNumberFormat="1" applyFont="1"/>
    <xf numFmtId="171" fontId="16" fillId="0" borderId="0" xfId="1" applyNumberFormat="1" applyFont="1" applyFill="1" applyBorder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3" borderId="2" xfId="0" applyFont="1" applyFill="1" applyBorder="1"/>
    <xf numFmtId="0" fontId="2" fillId="3" borderId="2" xfId="0" applyFont="1" applyFill="1" applyBorder="1"/>
    <xf numFmtId="166" fontId="12" fillId="0" borderId="0" xfId="0" applyNumberFormat="1" applyFont="1"/>
  </cellXfs>
  <cellStyles count="3">
    <cellStyle name="Normal" xfId="0" builtinId="0"/>
    <cellStyle name="Normal 2" xfId="2" xr:uid="{E28F3379-423F-4FF8-8C0E-ABECB8E31219}"/>
    <cellStyle name="Note" xfId="1" builtinId="10"/>
  </cellStyles>
  <dxfs count="0"/>
  <tableStyles count="0" defaultTableStyle="TableStyleMedium2" defaultPivotStyle="PivotStyleLight16"/>
  <colors>
    <mruColors>
      <color rgb="FF0000FF"/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2:L85"/>
  <sheetViews>
    <sheetView showGridLines="0" tabSelected="1" zoomScaleNormal="100" workbookViewId="0">
      <selection activeCell="B2" sqref="B2"/>
    </sheetView>
  </sheetViews>
  <sheetFormatPr defaultColWidth="9.15234375" defaultRowHeight="15.9" x14ac:dyDescent="0.45"/>
  <cols>
    <col min="1" max="2" width="2.69140625" style="2" customWidth="1"/>
    <col min="3" max="4" width="20.69140625" style="2" customWidth="1"/>
    <col min="5" max="11" width="13.69140625" style="2" customWidth="1"/>
    <col min="12" max="12" width="2.69140625" style="2" customWidth="1"/>
    <col min="13" max="17" width="10.69140625" style="2" customWidth="1"/>
    <col min="18" max="16384" width="9.15234375" style="2"/>
  </cols>
  <sheetData>
    <row r="2" spans="2:12" ht="18.45" x14ac:dyDescent="0.5">
      <c r="B2" s="20" t="s">
        <v>68</v>
      </c>
    </row>
    <row r="3" spans="2:12" x14ac:dyDescent="0.45">
      <c r="B3" s="2" t="s">
        <v>5</v>
      </c>
    </row>
    <row r="5" spans="2:12" x14ac:dyDescent="0.45">
      <c r="B5" s="3" t="s">
        <v>52</v>
      </c>
      <c r="C5" s="4"/>
      <c r="D5" s="4"/>
      <c r="E5" s="34" t="s">
        <v>53</v>
      </c>
      <c r="F5" s="5"/>
      <c r="G5" s="4"/>
      <c r="H5" s="5"/>
      <c r="I5" s="5"/>
      <c r="J5" s="34" t="str">
        <f>$E$5</f>
        <v>Units:</v>
      </c>
      <c r="K5" s="5"/>
      <c r="L5" s="36"/>
    </row>
    <row r="7" spans="2:12" x14ac:dyDescent="0.45">
      <c r="C7" s="2" t="s">
        <v>11</v>
      </c>
      <c r="E7" s="32" t="s">
        <v>54</v>
      </c>
      <c r="F7" s="6">
        <v>8</v>
      </c>
      <c r="H7" s="2" t="s">
        <v>2</v>
      </c>
      <c r="J7" s="32" t="s">
        <v>54</v>
      </c>
      <c r="K7" s="6">
        <v>8</v>
      </c>
    </row>
    <row r="9" spans="2:12" x14ac:dyDescent="0.45">
      <c r="C9" s="1" t="s">
        <v>38</v>
      </c>
      <c r="E9" s="32" t="s">
        <v>51</v>
      </c>
      <c r="F9" s="16">
        <f>F7*F37</f>
        <v>800</v>
      </c>
      <c r="H9" s="2" t="s">
        <v>31</v>
      </c>
      <c r="J9" s="32" t="s">
        <v>48</v>
      </c>
      <c r="K9" s="8">
        <v>0.2</v>
      </c>
    </row>
    <row r="10" spans="2:12" x14ac:dyDescent="0.45">
      <c r="C10" s="27" t="s">
        <v>33</v>
      </c>
      <c r="E10" s="32" t="s">
        <v>51</v>
      </c>
      <c r="F10" s="24">
        <v>50</v>
      </c>
      <c r="H10" s="2" t="s">
        <v>4</v>
      </c>
      <c r="J10" s="32" t="s">
        <v>48</v>
      </c>
      <c r="K10" s="8">
        <v>0.25</v>
      </c>
    </row>
    <row r="11" spans="2:12" x14ac:dyDescent="0.45">
      <c r="C11" s="27" t="s">
        <v>32</v>
      </c>
      <c r="E11" s="41" t="s">
        <v>51</v>
      </c>
      <c r="F11" s="24">
        <v>-100</v>
      </c>
    </row>
    <row r="12" spans="2:12" x14ac:dyDescent="0.45">
      <c r="C12" s="17" t="s">
        <v>57</v>
      </c>
      <c r="D12" s="18"/>
      <c r="E12" s="32" t="s">
        <v>51</v>
      </c>
      <c r="F12" s="42">
        <f>SUM(F9:F11)</f>
        <v>750</v>
      </c>
      <c r="H12" s="26" t="s">
        <v>47</v>
      </c>
      <c r="J12" s="32" t="s">
        <v>48</v>
      </c>
      <c r="K12" s="8">
        <v>0.01</v>
      </c>
    </row>
    <row r="13" spans="2:12" x14ac:dyDescent="0.45">
      <c r="H13" s="26" t="s">
        <v>49</v>
      </c>
      <c r="J13" s="32" t="s">
        <v>48</v>
      </c>
      <c r="K13" s="8">
        <v>0.02</v>
      </c>
      <c r="L13" s="35"/>
    </row>
    <row r="14" spans="2:12" x14ac:dyDescent="0.45">
      <c r="C14" s="26" t="s">
        <v>55</v>
      </c>
      <c r="E14" s="32" t="s">
        <v>54</v>
      </c>
      <c r="F14" s="6">
        <v>5</v>
      </c>
      <c r="H14" s="26"/>
      <c r="J14" s="26"/>
      <c r="K14" s="26"/>
    </row>
    <row r="15" spans="2:12" x14ac:dyDescent="0.45">
      <c r="C15" s="26" t="s">
        <v>6</v>
      </c>
      <c r="E15" s="32" t="s">
        <v>51</v>
      </c>
      <c r="F15" s="9">
        <f>F14*F37</f>
        <v>500</v>
      </c>
      <c r="H15" s="26" t="s">
        <v>50</v>
      </c>
      <c r="J15" s="32" t="s">
        <v>51</v>
      </c>
      <c r="K15" s="40">
        <v>2</v>
      </c>
    </row>
    <row r="16" spans="2:12" x14ac:dyDescent="0.45">
      <c r="C16" s="2" t="s">
        <v>9</v>
      </c>
      <c r="E16" s="32" t="s">
        <v>48</v>
      </c>
      <c r="F16" s="8">
        <v>0.08</v>
      </c>
    </row>
    <row r="17" spans="2:12" x14ac:dyDescent="0.45">
      <c r="C17" s="46" t="s">
        <v>66</v>
      </c>
      <c r="E17" s="32" t="s">
        <v>48</v>
      </c>
      <c r="F17" s="8">
        <v>0.5</v>
      </c>
    </row>
    <row r="19" spans="2:12" x14ac:dyDescent="0.45">
      <c r="B19" s="3" t="s">
        <v>39</v>
      </c>
      <c r="C19" s="4"/>
      <c r="D19" s="4"/>
      <c r="E19" s="34" t="str">
        <f>$E$5</f>
        <v>Units:</v>
      </c>
      <c r="F19" s="4"/>
      <c r="G19" s="4"/>
      <c r="H19" s="5"/>
      <c r="I19" s="5"/>
      <c r="J19" s="34" t="str">
        <f>$E$5</f>
        <v>Units:</v>
      </c>
      <c r="K19" s="5"/>
    </row>
    <row r="21" spans="2:12" x14ac:dyDescent="0.45">
      <c r="C21" s="56" t="s">
        <v>45</v>
      </c>
      <c r="D21" s="57"/>
      <c r="E21" s="56"/>
      <c r="F21" s="56"/>
      <c r="H21" s="56" t="s">
        <v>40</v>
      </c>
      <c r="I21" s="57"/>
      <c r="J21" s="57"/>
      <c r="K21" s="57"/>
    </row>
    <row r="22" spans="2:12" x14ac:dyDescent="0.45">
      <c r="C22" s="27" t="s">
        <v>58</v>
      </c>
      <c r="D22" s="26"/>
      <c r="E22" s="32" t="s">
        <v>51</v>
      </c>
      <c r="F22" s="37">
        <f>F15</f>
        <v>500</v>
      </c>
      <c r="H22" s="45" t="s">
        <v>38</v>
      </c>
      <c r="I22" s="26"/>
      <c r="J22" s="32" t="s">
        <v>51</v>
      </c>
      <c r="K22" s="37">
        <f>F9</f>
        <v>800</v>
      </c>
    </row>
    <row r="23" spans="2:12" x14ac:dyDescent="0.45">
      <c r="C23" s="27" t="s">
        <v>56</v>
      </c>
      <c r="D23" s="31"/>
      <c r="E23" s="41" t="s">
        <v>51</v>
      </c>
      <c r="F23" s="38">
        <f>K26-F22</f>
        <v>339.5</v>
      </c>
      <c r="H23" s="27" t="s">
        <v>41</v>
      </c>
      <c r="I23" s="26"/>
      <c r="J23" s="32" t="s">
        <v>51</v>
      </c>
      <c r="K23" s="38">
        <f>K12*F12+K15</f>
        <v>9.5</v>
      </c>
    </row>
    <row r="24" spans="2:12" x14ac:dyDescent="0.45">
      <c r="C24" s="28" t="s">
        <v>46</v>
      </c>
      <c r="D24" s="26"/>
      <c r="E24" s="32" t="s">
        <v>51</v>
      </c>
      <c r="F24" s="39">
        <f>SUM(F22:F23)</f>
        <v>839.5</v>
      </c>
      <c r="H24" s="27" t="s">
        <v>42</v>
      </c>
      <c r="I24" s="26"/>
      <c r="J24" s="32" t="s">
        <v>51</v>
      </c>
      <c r="K24" s="38">
        <f>K13*F15</f>
        <v>10</v>
      </c>
    </row>
    <row r="25" spans="2:12" x14ac:dyDescent="0.45">
      <c r="C25" s="43"/>
      <c r="D25" s="26"/>
      <c r="F25" s="44"/>
      <c r="H25" s="45" t="s">
        <v>59</v>
      </c>
      <c r="I25" s="26"/>
      <c r="J25" s="41" t="s">
        <v>51</v>
      </c>
      <c r="K25" s="38">
        <f>K9*F37</f>
        <v>20</v>
      </c>
    </row>
    <row r="26" spans="2:12" x14ac:dyDescent="0.45">
      <c r="H26" s="28" t="s">
        <v>43</v>
      </c>
      <c r="I26" s="29"/>
      <c r="J26" s="32" t="s">
        <v>51</v>
      </c>
      <c r="K26" s="39">
        <f>SUM(K22:K25)</f>
        <v>839.5</v>
      </c>
    </row>
    <row r="27" spans="2:12" x14ac:dyDescent="0.45">
      <c r="H27" s="26"/>
      <c r="I27" s="26"/>
      <c r="J27" s="26"/>
      <c r="K27" s="26"/>
      <c r="L27" s="26"/>
    </row>
    <row r="28" spans="2:12" x14ac:dyDescent="0.45">
      <c r="H28" s="1" t="s">
        <v>44</v>
      </c>
      <c r="I28" s="26"/>
      <c r="J28" s="26"/>
      <c r="K28" s="30">
        <f>F24-K26</f>
        <v>0</v>
      </c>
      <c r="L28" s="30"/>
    </row>
    <row r="30" spans="2:12" x14ac:dyDescent="0.45">
      <c r="B30" s="3" t="s">
        <v>7</v>
      </c>
      <c r="C30" s="4"/>
      <c r="D30" s="4"/>
      <c r="E30" s="34" t="str">
        <f>$E$5</f>
        <v>Units:</v>
      </c>
      <c r="F30" s="33" t="str">
        <f>"Year "&amp;$F$32</f>
        <v>Year 0</v>
      </c>
      <c r="G30" s="33" t="str">
        <f>"Year "&amp;$G$32</f>
        <v>Year 1</v>
      </c>
      <c r="H30" s="33" t="str">
        <f>"Year "&amp;$H$32</f>
        <v>Year 2</v>
      </c>
      <c r="I30" s="33" t="str">
        <f>"Year "&amp;$I$32</f>
        <v>Year 3</v>
      </c>
      <c r="J30" s="33" t="str">
        <f>"Year "&amp;$J$32</f>
        <v>Year 4</v>
      </c>
      <c r="K30" s="33" t="str">
        <f>"Year "&amp;$K$32</f>
        <v>Year 5</v>
      </c>
    </row>
    <row r="31" spans="2:12" x14ac:dyDescent="0.45">
      <c r="B31" s="51"/>
      <c r="C31" s="52"/>
      <c r="D31" s="52"/>
      <c r="E31" s="52"/>
      <c r="F31" s="53"/>
      <c r="G31" s="53"/>
      <c r="H31" s="53"/>
      <c r="I31" s="53"/>
      <c r="J31" s="53"/>
      <c r="K31" s="53"/>
    </row>
    <row r="32" spans="2:12" x14ac:dyDescent="0.45">
      <c r="B32" s="51"/>
      <c r="C32" s="2" t="s">
        <v>64</v>
      </c>
      <c r="D32" s="52"/>
      <c r="E32" s="32" t="s">
        <v>65</v>
      </c>
      <c r="F32" s="55">
        <v>0</v>
      </c>
      <c r="G32" s="54">
        <f>F32+1</f>
        <v>1</v>
      </c>
      <c r="H32" s="54">
        <f t="shared" ref="H32:K32" si="0">G32+1</f>
        <v>2</v>
      </c>
      <c r="I32" s="54">
        <f t="shared" si="0"/>
        <v>3</v>
      </c>
      <c r="J32" s="54">
        <f t="shared" si="0"/>
        <v>4</v>
      </c>
      <c r="K32" s="54">
        <f t="shared" si="0"/>
        <v>5</v>
      </c>
    </row>
    <row r="33" spans="2:11" x14ac:dyDescent="0.45">
      <c r="B33" s="51"/>
      <c r="C33" s="52"/>
      <c r="D33" s="52"/>
      <c r="E33" s="52"/>
      <c r="F33" s="53"/>
      <c r="G33" s="53"/>
      <c r="H33" s="53"/>
      <c r="I33" s="53"/>
      <c r="J33" s="53"/>
      <c r="K33" s="53"/>
    </row>
    <row r="34" spans="2:11" x14ac:dyDescent="0.45">
      <c r="B34" s="1"/>
      <c r="C34" s="2" t="s">
        <v>8</v>
      </c>
      <c r="E34" s="32" t="s">
        <v>51</v>
      </c>
      <c r="F34" s="22">
        <v>250</v>
      </c>
      <c r="G34" s="10">
        <f>F34*(1+G35)</f>
        <v>275</v>
      </c>
      <c r="H34" s="10">
        <f t="shared" ref="H34:K34" si="1">G34*(1+H35)</f>
        <v>297</v>
      </c>
      <c r="I34" s="10">
        <f t="shared" si="1"/>
        <v>314.82</v>
      </c>
      <c r="J34" s="10">
        <f t="shared" si="1"/>
        <v>330.56099999999998</v>
      </c>
      <c r="K34" s="10">
        <f t="shared" si="1"/>
        <v>347.08904999999999</v>
      </c>
    </row>
    <row r="35" spans="2:11" x14ac:dyDescent="0.45">
      <c r="B35" s="1"/>
      <c r="C35" s="13" t="s">
        <v>16</v>
      </c>
      <c r="E35" s="32" t="s">
        <v>48</v>
      </c>
      <c r="F35" s="11"/>
      <c r="G35" s="25">
        <v>0.1</v>
      </c>
      <c r="H35" s="25">
        <v>0.08</v>
      </c>
      <c r="I35" s="25">
        <v>0.06</v>
      </c>
      <c r="J35" s="25">
        <v>0.05</v>
      </c>
      <c r="K35" s="25">
        <v>0.05</v>
      </c>
    </row>
    <row r="36" spans="2:11" x14ac:dyDescent="0.45">
      <c r="B36" s="1"/>
      <c r="F36" s="11"/>
      <c r="G36" s="11"/>
      <c r="H36" s="11"/>
      <c r="I36" s="11"/>
      <c r="J36" s="11"/>
      <c r="K36" s="11"/>
    </row>
    <row r="37" spans="2:11" x14ac:dyDescent="0.45">
      <c r="C37" s="2" t="s">
        <v>3</v>
      </c>
      <c r="E37" s="32" t="s">
        <v>51</v>
      </c>
      <c r="F37" s="9">
        <f>F34*F38</f>
        <v>100</v>
      </c>
      <c r="G37" s="9">
        <f t="shared" ref="G37:K37" si="2">G34*G38</f>
        <v>112.75</v>
      </c>
      <c r="H37" s="9">
        <f t="shared" si="2"/>
        <v>124.74</v>
      </c>
      <c r="I37" s="9">
        <f t="shared" si="2"/>
        <v>135.37260000000001</v>
      </c>
      <c r="J37" s="9">
        <f t="shared" si="2"/>
        <v>145.44683999999998</v>
      </c>
      <c r="K37" s="9">
        <f t="shared" si="2"/>
        <v>156.19007249999999</v>
      </c>
    </row>
    <row r="38" spans="2:11" x14ac:dyDescent="0.45">
      <c r="C38" s="13" t="s">
        <v>17</v>
      </c>
      <c r="E38" s="32" t="s">
        <v>48</v>
      </c>
      <c r="F38" s="25">
        <v>0.4</v>
      </c>
      <c r="G38" s="25">
        <v>0.41</v>
      </c>
      <c r="H38" s="25">
        <v>0.42</v>
      </c>
      <c r="I38" s="25">
        <v>0.43</v>
      </c>
      <c r="J38" s="25">
        <v>0.44</v>
      </c>
      <c r="K38" s="25">
        <v>0.45</v>
      </c>
    </row>
    <row r="40" spans="2:11" x14ac:dyDescent="0.45">
      <c r="C40" s="2" t="s">
        <v>18</v>
      </c>
      <c r="E40" s="32" t="s">
        <v>51</v>
      </c>
      <c r="G40" s="9">
        <f>-G34*G41</f>
        <v>-33</v>
      </c>
      <c r="H40" s="9">
        <f t="shared" ref="H40:K40" si="3">-H34*H41</f>
        <v>-32.67</v>
      </c>
      <c r="I40" s="9">
        <f t="shared" si="3"/>
        <v>-31.481999999999999</v>
      </c>
      <c r="J40" s="9">
        <f t="shared" si="3"/>
        <v>-29.750489999999996</v>
      </c>
      <c r="K40" s="9">
        <f t="shared" si="3"/>
        <v>-27.767123999999999</v>
      </c>
    </row>
    <row r="41" spans="2:11" x14ac:dyDescent="0.45">
      <c r="C41" s="13" t="s">
        <v>25</v>
      </c>
      <c r="E41" s="32" t="s">
        <v>48</v>
      </c>
      <c r="G41" s="25">
        <v>0.12</v>
      </c>
      <c r="H41" s="25">
        <v>0.11</v>
      </c>
      <c r="I41" s="25">
        <v>0.1</v>
      </c>
      <c r="J41" s="25">
        <v>0.09</v>
      </c>
      <c r="K41" s="25">
        <v>0.08</v>
      </c>
    </row>
    <row r="42" spans="2:11" x14ac:dyDescent="0.45">
      <c r="G42" s="9"/>
      <c r="H42" s="9"/>
      <c r="I42" s="9"/>
      <c r="J42" s="9"/>
      <c r="K42" s="9"/>
    </row>
    <row r="43" spans="2:11" x14ac:dyDescent="0.45">
      <c r="C43" s="2" t="s">
        <v>19</v>
      </c>
      <c r="E43" s="32" t="s">
        <v>51</v>
      </c>
      <c r="G43" s="9">
        <f>-F67*$F$16</f>
        <v>-40</v>
      </c>
      <c r="H43" s="9">
        <f>-G67*$F$16</f>
        <v>-39.229500000000002</v>
      </c>
      <c r="I43" s="9">
        <f>-H67*$F$16</f>
        <v>-37.636555000000001</v>
      </c>
      <c r="J43" s="9">
        <f>-I67*$F$16</f>
        <v>-35.189377950000001</v>
      </c>
      <c r="K43" s="9">
        <f>-J67*$F$16</f>
        <v>-31.879881983499999</v>
      </c>
    </row>
    <row r="45" spans="2:11" x14ac:dyDescent="0.45">
      <c r="C45" s="2" t="s">
        <v>10</v>
      </c>
      <c r="E45" s="32" t="s">
        <v>51</v>
      </c>
      <c r="G45" s="9">
        <f>G37+G40+G43</f>
        <v>39.75</v>
      </c>
      <c r="H45" s="9">
        <f>H37+H40+H43</f>
        <v>52.840499999999992</v>
      </c>
      <c r="I45" s="9">
        <f>I37+I40+I43</f>
        <v>66.254045000000005</v>
      </c>
      <c r="J45" s="9">
        <f>J37+J40+J43</f>
        <v>80.506972049999973</v>
      </c>
      <c r="K45" s="9">
        <f>K37+K40+K43</f>
        <v>96.543066516499991</v>
      </c>
    </row>
    <row r="46" spans="2:11" x14ac:dyDescent="0.45">
      <c r="C46" s="13" t="s">
        <v>20</v>
      </c>
      <c r="E46" s="41" t="s">
        <v>51</v>
      </c>
      <c r="G46" s="9">
        <f>-G45*$K$10</f>
        <v>-9.9375</v>
      </c>
      <c r="H46" s="9">
        <f>-H45*$K$10</f>
        <v>-13.210124999999998</v>
      </c>
      <c r="I46" s="9">
        <f>-I45*$K$10</f>
        <v>-16.563511250000001</v>
      </c>
      <c r="J46" s="9">
        <f>-J45*$K$10</f>
        <v>-20.126743012499993</v>
      </c>
      <c r="K46" s="9">
        <f>-K45*$K$10</f>
        <v>-24.135766629124998</v>
      </c>
    </row>
    <row r="47" spans="2:11" x14ac:dyDescent="0.45">
      <c r="C47" s="17" t="s">
        <v>0</v>
      </c>
      <c r="D47" s="18"/>
      <c r="E47" s="32" t="s">
        <v>51</v>
      </c>
      <c r="F47" s="18"/>
      <c r="G47" s="19">
        <f>SUM(G45:G46)</f>
        <v>29.8125</v>
      </c>
      <c r="H47" s="19">
        <f t="shared" ref="H47:K47" si="4">SUM(H45:H46)</f>
        <v>39.630374999999994</v>
      </c>
      <c r="I47" s="19">
        <f t="shared" si="4"/>
        <v>49.69053375</v>
      </c>
      <c r="J47" s="19">
        <f t="shared" si="4"/>
        <v>60.38022903749998</v>
      </c>
      <c r="K47" s="19">
        <f t="shared" si="4"/>
        <v>72.40729988737499</v>
      </c>
    </row>
    <row r="49" spans="2:11" x14ac:dyDescent="0.45">
      <c r="B49" s="3" t="s">
        <v>21</v>
      </c>
      <c r="C49" s="4"/>
      <c r="D49" s="4"/>
      <c r="E49" s="34" t="str">
        <f>$E$5</f>
        <v>Units:</v>
      </c>
      <c r="F49" s="33" t="str">
        <f>$F$30</f>
        <v>Year 0</v>
      </c>
      <c r="G49" s="33" t="str">
        <f>$G$30</f>
        <v>Year 1</v>
      </c>
      <c r="H49" s="33" t="str">
        <f>$H$30</f>
        <v>Year 2</v>
      </c>
      <c r="I49" s="33" t="str">
        <f>$I$30</f>
        <v>Year 3</v>
      </c>
      <c r="J49" s="33" t="str">
        <f>$J$30</f>
        <v>Year 4</v>
      </c>
      <c r="K49" s="33" t="str">
        <f>$K$30</f>
        <v>Year 5</v>
      </c>
    </row>
    <row r="50" spans="2:11" x14ac:dyDescent="0.45">
      <c r="B50" s="51"/>
      <c r="C50" s="52"/>
      <c r="D50" s="52"/>
      <c r="E50" s="52"/>
      <c r="F50" s="53"/>
      <c r="G50" s="53"/>
      <c r="H50" s="53"/>
      <c r="I50" s="53"/>
      <c r="J50" s="53"/>
      <c r="K50" s="53"/>
    </row>
    <row r="51" spans="2:11" x14ac:dyDescent="0.45">
      <c r="C51" s="2" t="s">
        <v>0</v>
      </c>
      <c r="E51" s="32" t="s">
        <v>51</v>
      </c>
      <c r="G51" s="7">
        <f>G47</f>
        <v>29.8125</v>
      </c>
      <c r="H51" s="7">
        <f t="shared" ref="H51:K51" si="5">H47</f>
        <v>39.630374999999994</v>
      </c>
      <c r="I51" s="7">
        <f t="shared" si="5"/>
        <v>49.69053375</v>
      </c>
      <c r="J51" s="7">
        <f t="shared" si="5"/>
        <v>60.38022903749998</v>
      </c>
      <c r="K51" s="7">
        <f t="shared" si="5"/>
        <v>72.40729988737499</v>
      </c>
    </row>
    <row r="53" spans="2:11" x14ac:dyDescent="0.45">
      <c r="C53" s="2" t="s">
        <v>22</v>
      </c>
      <c r="E53" s="32" t="s">
        <v>51</v>
      </c>
      <c r="G53" s="9">
        <f>-G40</f>
        <v>33</v>
      </c>
      <c r="H53" s="9">
        <f>-H40</f>
        <v>32.67</v>
      </c>
      <c r="I53" s="9">
        <f>-I40</f>
        <v>31.481999999999999</v>
      </c>
      <c r="J53" s="9">
        <f>-J40</f>
        <v>29.750489999999996</v>
      </c>
      <c r="K53" s="9">
        <f>-K40</f>
        <v>27.767123999999999</v>
      </c>
    </row>
    <row r="54" spans="2:11" x14ac:dyDescent="0.45">
      <c r="C54" s="2" t="s">
        <v>23</v>
      </c>
      <c r="E54" s="32" t="s">
        <v>51</v>
      </c>
      <c r="G54" s="9">
        <f>(G34-F34)*G55</f>
        <v>-2.5</v>
      </c>
      <c r="H54" s="9">
        <f>(H34-G34)*H55</f>
        <v>-1.1000000000000001</v>
      </c>
      <c r="I54" s="9">
        <f>(I34-H34)*I55</f>
        <v>0</v>
      </c>
      <c r="J54" s="9">
        <f>(J34-I34)*J55</f>
        <v>0.39352499999999968</v>
      </c>
      <c r="K54" s="9">
        <f>(K34-J34)*K55</f>
        <v>0.82640250000000037</v>
      </c>
    </row>
    <row r="55" spans="2:11" x14ac:dyDescent="0.45">
      <c r="C55" s="13" t="s">
        <v>26</v>
      </c>
      <c r="E55" s="32" t="s">
        <v>48</v>
      </c>
      <c r="G55" s="25">
        <v>-0.1</v>
      </c>
      <c r="H55" s="25">
        <v>-0.05</v>
      </c>
      <c r="I55" s="25">
        <v>0</v>
      </c>
      <c r="J55" s="25">
        <v>2.5000000000000001E-2</v>
      </c>
      <c r="K55" s="25">
        <v>0.05</v>
      </c>
    </row>
    <row r="56" spans="2:11" x14ac:dyDescent="0.45">
      <c r="G56" s="9"/>
      <c r="H56" s="9"/>
      <c r="I56" s="9"/>
      <c r="J56" s="9"/>
      <c r="K56" s="9"/>
    </row>
    <row r="57" spans="2:11" x14ac:dyDescent="0.45">
      <c r="C57" s="2" t="s">
        <v>24</v>
      </c>
      <c r="E57" s="32" t="s">
        <v>51</v>
      </c>
      <c r="G57" s="9">
        <f>-G58*G34</f>
        <v>-38.500000000000007</v>
      </c>
      <c r="H57" s="9">
        <f t="shared" ref="H57:K57" si="6">-H58*H34</f>
        <v>-38.61</v>
      </c>
      <c r="I57" s="9">
        <f t="shared" si="6"/>
        <v>-37.778399999999998</v>
      </c>
      <c r="J57" s="9">
        <f t="shared" si="6"/>
        <v>-36.361709999999995</v>
      </c>
      <c r="K57" s="9">
        <f t="shared" si="6"/>
        <v>-34.708905000000001</v>
      </c>
    </row>
    <row r="58" spans="2:11" x14ac:dyDescent="0.45">
      <c r="C58" s="13" t="s">
        <v>25</v>
      </c>
      <c r="E58" s="32" t="s">
        <v>48</v>
      </c>
      <c r="G58" s="25">
        <v>0.14000000000000001</v>
      </c>
      <c r="H58" s="25">
        <v>0.13</v>
      </c>
      <c r="I58" s="25">
        <v>0.12</v>
      </c>
      <c r="J58" s="25">
        <v>0.11</v>
      </c>
      <c r="K58" s="25">
        <v>0.1</v>
      </c>
    </row>
    <row r="59" spans="2:11" x14ac:dyDescent="0.45">
      <c r="G59" s="12"/>
      <c r="H59" s="12"/>
      <c r="I59" s="12"/>
      <c r="J59" s="12"/>
      <c r="K59" s="12"/>
    </row>
    <row r="60" spans="2:11" x14ac:dyDescent="0.45">
      <c r="C60" s="13" t="s">
        <v>27</v>
      </c>
      <c r="E60" s="32" t="s">
        <v>51</v>
      </c>
      <c r="G60" s="9">
        <f>F68</f>
        <v>20</v>
      </c>
      <c r="H60" s="9">
        <f t="shared" ref="H60:K60" si="7">G68</f>
        <v>32.181249999999999</v>
      </c>
      <c r="I60" s="9">
        <f t="shared" si="7"/>
        <v>44.859812500000004</v>
      </c>
      <c r="J60" s="9">
        <f t="shared" si="7"/>
        <v>57.664233125000003</v>
      </c>
      <c r="K60" s="9">
        <f t="shared" si="7"/>
        <v>70.458067581249992</v>
      </c>
    </row>
    <row r="61" spans="2:11" x14ac:dyDescent="0.45">
      <c r="C61" s="13" t="s">
        <v>28</v>
      </c>
      <c r="E61" s="32" t="s">
        <v>51</v>
      </c>
      <c r="G61" s="9">
        <f>G51+G53+G54+G57</f>
        <v>21.812499999999993</v>
      </c>
      <c r="H61" s="9">
        <f t="shared" ref="H61:K61" si="8">H51+H53+H54+H57</f>
        <v>32.590375000000009</v>
      </c>
      <c r="I61" s="9">
        <f t="shared" si="8"/>
        <v>43.394133750000002</v>
      </c>
      <c r="J61" s="9">
        <f t="shared" si="8"/>
        <v>54.162534037499974</v>
      </c>
      <c r="K61" s="9">
        <f t="shared" si="8"/>
        <v>66.291921387374984</v>
      </c>
    </row>
    <row r="62" spans="2:11" x14ac:dyDescent="0.45">
      <c r="C62" s="13" t="s">
        <v>29</v>
      </c>
      <c r="E62" s="41" t="s">
        <v>51</v>
      </c>
      <c r="G62" s="9">
        <f>-G37*$K$9</f>
        <v>-22.55</v>
      </c>
      <c r="H62" s="9">
        <f>-H37*$K$9</f>
        <v>-24.948</v>
      </c>
      <c r="I62" s="9">
        <f>-I37*$K$9</f>
        <v>-27.074520000000003</v>
      </c>
      <c r="J62" s="9">
        <f>-J37*$K$9</f>
        <v>-29.089367999999997</v>
      </c>
      <c r="K62" s="9">
        <f>-K37*$K$9</f>
        <v>-31.238014499999998</v>
      </c>
    </row>
    <row r="63" spans="2:11" x14ac:dyDescent="0.45">
      <c r="C63" s="17" t="s">
        <v>30</v>
      </c>
      <c r="D63" s="18"/>
      <c r="E63" s="32" t="s">
        <v>51</v>
      </c>
      <c r="F63" s="18"/>
      <c r="G63" s="23">
        <f>SUM(G60:G62)</f>
        <v>19.262499999999992</v>
      </c>
      <c r="H63" s="23">
        <f t="shared" ref="H63:K63" si="9">SUM(H60:H62)</f>
        <v>39.823625</v>
      </c>
      <c r="I63" s="23">
        <f t="shared" si="9"/>
        <v>61.179426250000006</v>
      </c>
      <c r="J63" s="23">
        <f t="shared" si="9"/>
        <v>82.737399162499983</v>
      </c>
      <c r="K63" s="23">
        <f t="shared" si="9"/>
        <v>105.51197446862497</v>
      </c>
    </row>
    <row r="64" spans="2:11" x14ac:dyDescent="0.45">
      <c r="G64" s="12"/>
      <c r="H64" s="12"/>
      <c r="I64" s="12"/>
      <c r="J64" s="12"/>
      <c r="K64" s="12"/>
    </row>
    <row r="65" spans="2:11" x14ac:dyDescent="0.45">
      <c r="C65" s="2" t="s">
        <v>14</v>
      </c>
      <c r="E65" s="32" t="s">
        <v>51</v>
      </c>
      <c r="G65" s="9">
        <f>IF(G63&gt;0,MIN(F67,G63*$F$17),G63)</f>
        <v>9.6312499999999961</v>
      </c>
      <c r="H65" s="9">
        <f t="shared" ref="H65:K65" si="10">IF(H63&gt;0,MIN(G67,H63*$F$17),H63)</f>
        <v>19.9118125</v>
      </c>
      <c r="I65" s="9">
        <f t="shared" si="10"/>
        <v>30.589713125000003</v>
      </c>
      <c r="J65" s="9">
        <f t="shared" si="10"/>
        <v>41.368699581249992</v>
      </c>
      <c r="K65" s="9">
        <f t="shared" si="10"/>
        <v>52.755987234312485</v>
      </c>
    </row>
    <row r="67" spans="2:11" x14ac:dyDescent="0.45">
      <c r="C67" s="2" t="s">
        <v>1</v>
      </c>
      <c r="E67" s="32" t="s">
        <v>51</v>
      </c>
      <c r="F67" s="9">
        <f>F15</f>
        <v>500</v>
      </c>
      <c r="G67" s="9">
        <f>F67-G65</f>
        <v>490.36874999999998</v>
      </c>
      <c r="H67" s="9">
        <f t="shared" ref="H67:K67" si="11">G67-H65</f>
        <v>470.45693749999998</v>
      </c>
      <c r="I67" s="9">
        <f t="shared" si="11"/>
        <v>439.86722437499998</v>
      </c>
      <c r="J67" s="9">
        <f t="shared" si="11"/>
        <v>398.49852479374999</v>
      </c>
      <c r="K67" s="9">
        <f t="shared" si="11"/>
        <v>345.74253755943749</v>
      </c>
    </row>
    <row r="68" spans="2:11" x14ac:dyDescent="0.45">
      <c r="C68" s="2" t="s">
        <v>13</v>
      </c>
      <c r="E68" s="32" t="s">
        <v>51</v>
      </c>
      <c r="F68" s="9">
        <f>K25</f>
        <v>20</v>
      </c>
      <c r="G68" s="9">
        <f>F68+(G61-G65)</f>
        <v>32.181249999999999</v>
      </c>
      <c r="H68" s="9">
        <f t="shared" ref="H68:K68" si="12">G68+(H61-H65)</f>
        <v>44.859812500000004</v>
      </c>
      <c r="I68" s="9">
        <f t="shared" si="12"/>
        <v>57.664233125000003</v>
      </c>
      <c r="J68" s="9">
        <f t="shared" si="12"/>
        <v>70.458067581249992</v>
      </c>
      <c r="K68" s="9">
        <f t="shared" si="12"/>
        <v>83.994001734312491</v>
      </c>
    </row>
    <row r="69" spans="2:11" x14ac:dyDescent="0.45">
      <c r="C69" s="2" t="s">
        <v>34</v>
      </c>
      <c r="E69" s="32" t="s">
        <v>51</v>
      </c>
      <c r="F69" s="9">
        <f>F23</f>
        <v>339.5</v>
      </c>
      <c r="G69" s="9">
        <f>F69+G51</f>
        <v>369.3125</v>
      </c>
      <c r="H69" s="9">
        <f t="shared" ref="H69:K69" si="13">G69+H51</f>
        <v>408.94287500000002</v>
      </c>
      <c r="I69" s="9">
        <f t="shared" si="13"/>
        <v>458.63340875</v>
      </c>
      <c r="J69" s="9">
        <f t="shared" si="13"/>
        <v>519.01363778749999</v>
      </c>
      <c r="K69" s="9">
        <f t="shared" si="13"/>
        <v>591.42093767487495</v>
      </c>
    </row>
    <row r="70" spans="2:11" x14ac:dyDescent="0.45">
      <c r="F70" s="9"/>
    </row>
    <row r="71" spans="2:11" x14ac:dyDescent="0.45">
      <c r="C71" s="2" t="s">
        <v>35</v>
      </c>
      <c r="E71" s="32" t="s">
        <v>51</v>
      </c>
      <c r="F71" s="9">
        <f>F69+F67</f>
        <v>839.5</v>
      </c>
      <c r="G71" s="9">
        <f t="shared" ref="G71:K71" si="14">G69+G67</f>
        <v>859.68124999999998</v>
      </c>
      <c r="H71" s="9">
        <f t="shared" si="14"/>
        <v>879.39981250000005</v>
      </c>
      <c r="I71" s="9">
        <f t="shared" si="14"/>
        <v>898.50063312499992</v>
      </c>
      <c r="J71" s="9">
        <f t="shared" si="14"/>
        <v>917.51216258124998</v>
      </c>
      <c r="K71" s="9">
        <f t="shared" si="14"/>
        <v>937.1634752343125</v>
      </c>
    </row>
    <row r="72" spans="2:11" x14ac:dyDescent="0.45">
      <c r="C72" s="2" t="s">
        <v>36</v>
      </c>
      <c r="E72" s="32" t="s">
        <v>51</v>
      </c>
      <c r="G72" s="7">
        <f>(G37+G40)*(1-$K$10)</f>
        <v>59.8125</v>
      </c>
      <c r="H72" s="7">
        <f>(H37+H40)*(1-$K$10)</f>
        <v>69.052499999999995</v>
      </c>
      <c r="I72" s="7">
        <f>(I37+I40)*(1-$K$10)</f>
        <v>77.917950000000005</v>
      </c>
      <c r="J72" s="7">
        <f>(J37+J40)*(1-$K$10)</f>
        <v>86.772262499999982</v>
      </c>
      <c r="K72" s="7">
        <f>(K37+K40)*(1-$K$10)</f>
        <v>96.317211374999999</v>
      </c>
    </row>
    <row r="73" spans="2:11" x14ac:dyDescent="0.45">
      <c r="C73" s="21" t="s">
        <v>37</v>
      </c>
      <c r="E73" s="32" t="s">
        <v>48</v>
      </c>
      <c r="G73" s="58">
        <f>G72/AVERAGE(F71,G71)</f>
        <v>7.040155368946073E-2</v>
      </c>
      <c r="H73" s="58">
        <f t="shared" ref="H73:K73" si="15">H72/AVERAGE(G71,H71)</f>
        <v>7.9412629450100747E-2</v>
      </c>
      <c r="I73" s="58">
        <f t="shared" si="15"/>
        <v>8.7651645728238581E-2</v>
      </c>
      <c r="J73" s="58">
        <f t="shared" si="15"/>
        <v>9.5563492399572139E-2</v>
      </c>
      <c r="K73" s="58">
        <f t="shared" si="15"/>
        <v>0.10386421152158169</v>
      </c>
    </row>
    <row r="74" spans="2:11" x14ac:dyDescent="0.45">
      <c r="K74" s="9"/>
    </row>
    <row r="75" spans="2:11" x14ac:dyDescent="0.45">
      <c r="B75" s="3" t="s">
        <v>67</v>
      </c>
      <c r="C75" s="4"/>
      <c r="D75" s="4"/>
      <c r="E75" s="34" t="str">
        <f>$E$5</f>
        <v>Units:</v>
      </c>
      <c r="F75" s="33" t="str">
        <f>$F$30</f>
        <v>Year 0</v>
      </c>
      <c r="G75" s="33" t="str">
        <f>$G$30</f>
        <v>Year 1</v>
      </c>
      <c r="H75" s="33" t="str">
        <f>$H$30</f>
        <v>Year 2</v>
      </c>
      <c r="I75" s="33" t="str">
        <f>$I$30</f>
        <v>Year 3</v>
      </c>
      <c r="J75" s="33" t="str">
        <f>$J$30</f>
        <v>Year 4</v>
      </c>
      <c r="K75" s="33" t="str">
        <f>$K$30</f>
        <v>Year 5</v>
      </c>
    </row>
    <row r="76" spans="2:11" x14ac:dyDescent="0.45">
      <c r="K76" s="9"/>
    </row>
    <row r="77" spans="2:11" x14ac:dyDescent="0.45">
      <c r="C77" s="1" t="s">
        <v>3</v>
      </c>
      <c r="E77" s="32" t="s">
        <v>51</v>
      </c>
      <c r="G77" s="16">
        <f>G37</f>
        <v>112.75</v>
      </c>
      <c r="H77" s="16">
        <f t="shared" ref="H77:K77" si="16">H37</f>
        <v>124.74</v>
      </c>
      <c r="I77" s="16">
        <f t="shared" si="16"/>
        <v>135.37260000000001</v>
      </c>
      <c r="J77" s="16">
        <f t="shared" si="16"/>
        <v>145.44683999999998</v>
      </c>
      <c r="K77" s="16">
        <f t="shared" si="16"/>
        <v>156.19007249999999</v>
      </c>
    </row>
    <row r="78" spans="2:11" x14ac:dyDescent="0.45">
      <c r="C78" s="47" t="s">
        <v>60</v>
      </c>
      <c r="D78" s="14"/>
      <c r="E78" s="41" t="s">
        <v>54</v>
      </c>
      <c r="F78" s="14"/>
      <c r="G78" s="48">
        <f>$K$7</f>
        <v>8</v>
      </c>
      <c r="H78" s="48">
        <f t="shared" ref="H78:K78" si="17">$K$7</f>
        <v>8</v>
      </c>
      <c r="I78" s="48">
        <f t="shared" si="17"/>
        <v>8</v>
      </c>
      <c r="J78" s="48">
        <f t="shared" si="17"/>
        <v>8</v>
      </c>
      <c r="K78" s="48">
        <f t="shared" si="17"/>
        <v>8</v>
      </c>
    </row>
    <row r="79" spans="2:11" x14ac:dyDescent="0.45">
      <c r="C79" s="1" t="s">
        <v>12</v>
      </c>
      <c r="E79" s="32" t="s">
        <v>51</v>
      </c>
      <c r="G79" s="23">
        <f>G78*G77</f>
        <v>902</v>
      </c>
      <c r="H79" s="23">
        <f t="shared" ref="H79:K79" si="18">H78*H77</f>
        <v>997.92</v>
      </c>
      <c r="I79" s="23">
        <f t="shared" si="18"/>
        <v>1082.9808</v>
      </c>
      <c r="J79" s="23">
        <f t="shared" si="18"/>
        <v>1163.5747199999998</v>
      </c>
      <c r="K79" s="23">
        <f t="shared" si="18"/>
        <v>1249.5205799999999</v>
      </c>
    </row>
    <row r="80" spans="2:11" x14ac:dyDescent="0.45">
      <c r="C80" s="47" t="s">
        <v>61</v>
      </c>
      <c r="D80" s="14"/>
      <c r="E80" s="41" t="s">
        <v>51</v>
      </c>
      <c r="F80" s="14"/>
      <c r="G80" s="15">
        <f>-G67+G68</f>
        <v>-458.1875</v>
      </c>
      <c r="H80" s="15">
        <f t="shared" ref="H80:K80" si="19">-H67+H68</f>
        <v>-425.59712500000001</v>
      </c>
      <c r="I80" s="15">
        <f t="shared" si="19"/>
        <v>-382.20299124999997</v>
      </c>
      <c r="J80" s="15">
        <f t="shared" si="19"/>
        <v>-328.04045721249997</v>
      </c>
      <c r="K80" s="15">
        <f t="shared" si="19"/>
        <v>-261.74853582512503</v>
      </c>
    </row>
    <row r="81" spans="3:11" x14ac:dyDescent="0.45">
      <c r="C81" s="1" t="s">
        <v>62</v>
      </c>
      <c r="E81" s="32" t="s">
        <v>51</v>
      </c>
      <c r="G81" s="16">
        <f>SUM(G79:G80)</f>
        <v>443.8125</v>
      </c>
      <c r="H81" s="16">
        <f t="shared" ref="H81:K81" si="20">SUM(H79:H80)</f>
        <v>572.32287499999995</v>
      </c>
      <c r="I81" s="16">
        <f t="shared" si="20"/>
        <v>700.77780875000008</v>
      </c>
      <c r="J81" s="16">
        <f t="shared" si="20"/>
        <v>835.53426278749987</v>
      </c>
      <c r="K81" s="16">
        <f t="shared" si="20"/>
        <v>987.77204417487485</v>
      </c>
    </row>
    <row r="82" spans="3:11" x14ac:dyDescent="0.45">
      <c r="K82" s="9"/>
    </row>
    <row r="83" spans="3:11" x14ac:dyDescent="0.45">
      <c r="C83" s="46" t="s">
        <v>15</v>
      </c>
      <c r="E83" s="32" t="s">
        <v>54</v>
      </c>
      <c r="G83" s="49">
        <f>G81/$F$23</f>
        <v>1.3072533136966127</v>
      </c>
      <c r="H83" s="49">
        <f t="shared" ref="H83:K83" si="21">H81/$F$23</f>
        <v>1.6857816642120764</v>
      </c>
      <c r="I83" s="49">
        <f t="shared" si="21"/>
        <v>2.0641467120765835</v>
      </c>
      <c r="J83" s="49">
        <f t="shared" si="21"/>
        <v>2.4610729389911632</v>
      </c>
      <c r="K83" s="49">
        <f t="shared" si="21"/>
        <v>2.909490557216126</v>
      </c>
    </row>
    <row r="84" spans="3:11" x14ac:dyDescent="0.45">
      <c r="C84" s="46" t="s">
        <v>63</v>
      </c>
      <c r="E84" s="32" t="s">
        <v>48</v>
      </c>
      <c r="G84" s="50">
        <f>(G81/$F$23)^(1/G32)-1</f>
        <v>0.30725331369661268</v>
      </c>
      <c r="H84" s="50">
        <f>(H81/$F$23)^(1/H32)-1</f>
        <v>0.29837654946940417</v>
      </c>
      <c r="I84" s="50">
        <f>(I81/$F$23)^(1/I32)-1</f>
        <v>0.27324951878708337</v>
      </c>
      <c r="J84" s="50">
        <f>(J81/$F$23)^(1/J32)-1</f>
        <v>0.25250976734954489</v>
      </c>
      <c r="K84" s="50">
        <f>(K81/$F$23)^(1/K32)-1</f>
        <v>0.23812185696310073</v>
      </c>
    </row>
    <row r="85" spans="3:11" x14ac:dyDescent="0.45">
      <c r="K85" s="9"/>
    </row>
  </sheetData>
  <pageMargins left="0.7" right="0.7" top="0.75" bottom="0.75" header="0.3" footer="0.3"/>
  <pageSetup scale="63" orientation="portrait" r:id="rId1"/>
  <rowBreaks count="1" manualBreakCount="1">
    <brk id="48" max="11" man="1"/>
  </rowBreaks>
  <colBreaks count="1" manualBreakCount="1">
    <brk id="12" max="77" man="1"/>
  </colBreaks>
  <ignoredErrors>
    <ignoredError sqref="F72:K72 F73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LBO_Valuation</vt:lpstr>
      <vt:lpstr>LBO_Valuation!Print_Area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BIWS</dc:creator>
  <cp:lastModifiedBy>Brian DeChesare</cp:lastModifiedBy>
  <dcterms:created xsi:type="dcterms:W3CDTF">2014-04-29T19:37:43Z</dcterms:created>
  <dcterms:modified xsi:type="dcterms:W3CDTF">2026-03-11T00:55:28Z</dcterms:modified>
</cp:coreProperties>
</file>