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dech\BIWS Dropbox\Brian DeChesare\BIWS-All-Courses\100-Bonus-Case-Studies\105-Accounting\105-38-CapEx-Depreciation\"/>
    </mc:Choice>
  </mc:AlternateContent>
  <xr:revisionPtr revIDLastSave="0" documentId="13_ncr:1_{6D421213-A94F-45FC-8AD6-83D8555D6662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Accounting" sheetId="3" r:id="rId1"/>
    <sheet name="Multiples" sheetId="5" r:id="rId2"/>
    <sheet name="DCF" sheetId="4" r:id="rId3"/>
  </sheets>
  <definedNames>
    <definedName name="Discount_Rate">DCF!$E$24</definedName>
    <definedName name="Equity_Risk_Premium">DCF!$E$12</definedName>
    <definedName name="Initial_Cash">Accounting!$E$11</definedName>
    <definedName name="Num_Years">DCF!$E$9</definedName>
    <definedName name="_xlnm.Print_Area" localSheetId="0">Accounting!$A$1:$Q$87</definedName>
    <definedName name="_xlnm.Print_Area" localSheetId="2">DCF!$A$1:$P$57</definedName>
    <definedName name="_xlnm.Print_Area" localSheetId="1">Multiples!$A$1:$O$45</definedName>
    <definedName name="Risk_Free_Rate">DCF!$E$11</definedName>
    <definedName name="Scenario">DCF!$E$9</definedName>
    <definedName name="Share_Price">Accounting!$E$9</definedName>
    <definedName name="Shares_Outstanding">Accounting!$E$10</definedName>
    <definedName name="Tax_Rate" localSheetId="2">DCF!$E$8</definedName>
    <definedName name="Tax_Rate">Accounting!$E$7</definedName>
    <definedName name="Terminal_Growth_Rate">DCF!$K$10</definedName>
    <definedName name="Unlevered_Beta">DCF!$E$14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9" i="4" l="1"/>
  <c r="M39" i="4"/>
  <c r="L39" i="4"/>
  <c r="K39" i="4"/>
  <c r="J39" i="4"/>
  <c r="I39" i="4"/>
  <c r="H39" i="4"/>
  <c r="G39" i="4"/>
  <c r="F39" i="4"/>
  <c r="E39" i="4"/>
  <c r="L9" i="5"/>
  <c r="K22" i="5"/>
  <c r="K5" i="5"/>
  <c r="D22" i="5"/>
  <c r="N37" i="5"/>
  <c r="M37" i="5"/>
  <c r="L37" i="5"/>
  <c r="G37" i="5"/>
  <c r="F37" i="5"/>
  <c r="E37" i="5"/>
  <c r="N32" i="5"/>
  <c r="M32" i="5"/>
  <c r="L32" i="5"/>
  <c r="N31" i="5"/>
  <c r="M31" i="5"/>
  <c r="L31" i="5"/>
  <c r="F29" i="5"/>
  <c r="N26" i="5"/>
  <c r="N28" i="5" s="1"/>
  <c r="N29" i="5" s="1"/>
  <c r="M26" i="5"/>
  <c r="M28" i="5" s="1"/>
  <c r="M29" i="5" s="1"/>
  <c r="L26" i="5"/>
  <c r="G32" i="5"/>
  <c r="F32" i="5"/>
  <c r="G31" i="5"/>
  <c r="F31" i="5"/>
  <c r="E32" i="5"/>
  <c r="E31" i="5"/>
  <c r="G26" i="5"/>
  <c r="F26" i="5"/>
  <c r="E26" i="5"/>
  <c r="E28" i="5" s="1"/>
  <c r="E29" i="5" s="1"/>
  <c r="E9" i="5"/>
  <c r="L28" i="5"/>
  <c r="G28" i="5"/>
  <c r="G29" i="5" s="1"/>
  <c r="F28" i="5"/>
  <c r="L29" i="5"/>
  <c r="N24" i="5"/>
  <c r="M24" i="5"/>
  <c r="G24" i="5"/>
  <c r="F24" i="5"/>
  <c r="L34" i="5" l="1"/>
  <c r="E34" i="5"/>
  <c r="G34" i="5"/>
  <c r="G35" i="5" s="1"/>
  <c r="M34" i="5"/>
  <c r="N34" i="5"/>
  <c r="F34" i="5"/>
  <c r="F43" i="5" l="1"/>
  <c r="F35" i="5"/>
  <c r="E38" i="5"/>
  <c r="E35" i="5"/>
  <c r="L38" i="5"/>
  <c r="L40" i="5" s="1"/>
  <c r="L41" i="5" s="1"/>
  <c r="L19" i="5" s="1"/>
  <c r="L43" i="5"/>
  <c r="N38" i="5"/>
  <c r="N43" i="5"/>
  <c r="M38" i="5"/>
  <c r="M43" i="5"/>
  <c r="E43" i="5"/>
  <c r="G38" i="5"/>
  <c r="G40" i="5" s="1"/>
  <c r="G41" i="5" s="1"/>
  <c r="G19" i="5" s="1"/>
  <c r="G43" i="5"/>
  <c r="F38" i="5"/>
  <c r="F40" i="5" s="1"/>
  <c r="F41" i="5" s="1"/>
  <c r="F19" i="5" s="1"/>
  <c r="N35" i="5"/>
  <c r="M35" i="5"/>
  <c r="L35" i="5"/>
  <c r="E40" i="5"/>
  <c r="G20" i="5" l="1"/>
  <c r="G44" i="5"/>
  <c r="E20" i="5"/>
  <c r="E44" i="5"/>
  <c r="F20" i="5"/>
  <c r="F44" i="5"/>
  <c r="M20" i="5"/>
  <c r="M44" i="5"/>
  <c r="N20" i="5"/>
  <c r="N44" i="5"/>
  <c r="L20" i="5"/>
  <c r="L44" i="5"/>
  <c r="E41" i="5"/>
  <c r="E19" i="5" s="1"/>
  <c r="M40" i="5"/>
  <c r="M41" i="5" s="1"/>
  <c r="M19" i="5" s="1"/>
  <c r="N40" i="5"/>
  <c r="N41" i="5" l="1"/>
  <c r="N19" i="5" s="1"/>
  <c r="H21" i="4"/>
  <c r="H22" i="4" s="1"/>
  <c r="H23" i="4" s="1"/>
  <c r="H24" i="4" s="1"/>
  <c r="H20" i="4"/>
  <c r="N18" i="4"/>
  <c r="K18" i="4"/>
  <c r="L18" i="4"/>
  <c r="M18" i="4" s="1"/>
  <c r="J18" i="4"/>
  <c r="E9" i="4"/>
  <c r="E22" i="4"/>
  <c r="E17" i="4"/>
  <c r="E18" i="4" s="1"/>
  <c r="E19" i="4" s="1"/>
  <c r="E24" i="4" s="1"/>
  <c r="E49" i="4"/>
  <c r="E36" i="4"/>
  <c r="F33" i="4"/>
  <c r="G33" i="4" s="1"/>
  <c r="H33" i="4" s="1"/>
  <c r="I33" i="4" s="1"/>
  <c r="J33" i="4" s="1"/>
  <c r="K33" i="4" s="1"/>
  <c r="L33" i="4" s="1"/>
  <c r="M33" i="4" s="1"/>
  <c r="N33" i="4" s="1"/>
  <c r="N36" i="4" s="1"/>
  <c r="N47" i="4" s="1"/>
  <c r="J48" i="4" l="1"/>
  <c r="I48" i="4"/>
  <c r="H48" i="4"/>
  <c r="G48" i="4"/>
  <c r="N49" i="4"/>
  <c r="M49" i="4"/>
  <c r="L49" i="4"/>
  <c r="K49" i="4"/>
  <c r="J49" i="4"/>
  <c r="I49" i="4"/>
  <c r="H49" i="4"/>
  <c r="G49" i="4"/>
  <c r="F49" i="4"/>
  <c r="F48" i="4"/>
  <c r="N48" i="4"/>
  <c r="M48" i="4"/>
  <c r="L48" i="4"/>
  <c r="K48" i="4"/>
  <c r="N41" i="4"/>
  <c r="N54" i="4" s="1"/>
  <c r="N56" i="4" s="1"/>
  <c r="M36" i="4"/>
  <c r="M47" i="4" s="1"/>
  <c r="L36" i="4"/>
  <c r="L47" i="4" s="1"/>
  <c r="K36" i="4"/>
  <c r="K47" i="4" s="1"/>
  <c r="J36" i="4"/>
  <c r="J47" i="4" s="1"/>
  <c r="I36" i="4"/>
  <c r="I47" i="4" s="1"/>
  <c r="H36" i="4"/>
  <c r="H47" i="4" s="1"/>
  <c r="G36" i="4"/>
  <c r="G47" i="4" s="1"/>
  <c r="F36" i="4"/>
  <c r="F47" i="4" s="1"/>
  <c r="E41" i="4" l="1"/>
  <c r="E47" i="4"/>
  <c r="G41" i="4"/>
  <c r="G54" i="4" s="1"/>
  <c r="G56" i="4" s="1"/>
  <c r="H41" i="4"/>
  <c r="H54" i="4" s="1"/>
  <c r="F41" i="4"/>
  <c r="F54" i="4" s="1"/>
  <c r="F56" i="4" s="1"/>
  <c r="K41" i="4"/>
  <c r="K54" i="4" s="1"/>
  <c r="K56" i="4" s="1"/>
  <c r="M41" i="4"/>
  <c r="M54" i="4" s="1"/>
  <c r="M56" i="4" s="1"/>
  <c r="I41" i="4"/>
  <c r="I54" i="4" s="1"/>
  <c r="J41" i="4"/>
  <c r="J54" i="4" s="1"/>
  <c r="L41" i="4"/>
  <c r="L54" i="4" s="1"/>
  <c r="L55" i="4" l="1"/>
  <c r="L56" i="4"/>
  <c r="J55" i="4"/>
  <c r="J56" i="4"/>
  <c r="I55" i="4"/>
  <c r="I56" i="4"/>
  <c r="H55" i="4"/>
  <c r="H56" i="4"/>
  <c r="M55" i="4"/>
  <c r="K55" i="4"/>
  <c r="G55" i="4"/>
  <c r="E54" i="4"/>
  <c r="N55" i="4"/>
  <c r="E55" i="4" l="1"/>
  <c r="E56" i="4"/>
  <c r="F55" i="4"/>
  <c r="N43" i="4" l="1"/>
  <c r="N45" i="4" s="1"/>
  <c r="N51" i="4" s="1"/>
  <c r="K11" i="4" s="1"/>
  <c r="M43" i="4"/>
  <c r="M45" i="4" s="1"/>
  <c r="M51" i="4" s="1"/>
  <c r="L43" i="4"/>
  <c r="L45" i="4" s="1"/>
  <c r="L51" i="4" s="1"/>
  <c r="K43" i="4"/>
  <c r="K45" i="4" s="1"/>
  <c r="K51" i="4" s="1"/>
  <c r="J43" i="4"/>
  <c r="J45" i="4" s="1"/>
  <c r="J51" i="4" s="1"/>
  <c r="I43" i="4"/>
  <c r="I45" i="4" s="1"/>
  <c r="I51" i="4" s="1"/>
  <c r="H43" i="4"/>
  <c r="H45" i="4" s="1"/>
  <c r="H51" i="4" s="1"/>
  <c r="G43" i="4"/>
  <c r="G45" i="4" s="1"/>
  <c r="G51" i="4" s="1"/>
  <c r="F43" i="4"/>
  <c r="F45" i="4" s="1"/>
  <c r="F51" i="4" s="1"/>
  <c r="E43" i="4"/>
  <c r="H52" i="4" l="1"/>
  <c r="J52" i="4"/>
  <c r="M52" i="4"/>
  <c r="G52" i="4"/>
  <c r="K52" i="4"/>
  <c r="N52" i="4"/>
  <c r="L52" i="4"/>
  <c r="I52" i="4"/>
  <c r="E45" i="4"/>
  <c r="E51" i="4" l="1"/>
  <c r="F52" i="4" l="1"/>
  <c r="E52" i="4"/>
  <c r="K14" i="4"/>
  <c r="E51" i="3" l="1"/>
  <c r="D58" i="3" l="1"/>
  <c r="O56" i="3"/>
  <c r="O55" i="3"/>
  <c r="O54" i="3"/>
  <c r="O53" i="3"/>
  <c r="E57" i="3"/>
  <c r="P56" i="3" s="1"/>
  <c r="E56" i="3"/>
  <c r="P54" i="3" s="1"/>
  <c r="E55" i="3"/>
  <c r="E54" i="3"/>
  <c r="D52" i="3"/>
  <c r="D60" i="3" s="1"/>
  <c r="E58" i="3" l="1"/>
  <c r="P55" i="3"/>
  <c r="P53" i="3"/>
  <c r="P80" i="3"/>
  <c r="P79" i="3"/>
  <c r="P78" i="3"/>
  <c r="P76" i="3"/>
  <c r="P75" i="3"/>
  <c r="P74" i="3"/>
  <c r="P70" i="3"/>
  <c r="P68" i="3"/>
  <c r="D70" i="3"/>
  <c r="E70" i="3" s="1"/>
  <c r="P64" i="3"/>
  <c r="P63" i="3"/>
  <c r="P62" i="3"/>
  <c r="P61" i="3"/>
  <c r="P60" i="3"/>
  <c r="P59" i="3"/>
  <c r="E63" i="3"/>
  <c r="E62" i="3"/>
  <c r="E61" i="3"/>
  <c r="J60" i="3"/>
  <c r="I52" i="3"/>
  <c r="O83" i="3" s="1"/>
  <c r="E50" i="3"/>
  <c r="E52" i="3" s="1"/>
  <c r="P24" i="3"/>
  <c r="P77" i="3" s="1"/>
  <c r="J75" i="3"/>
  <c r="P69" i="3"/>
  <c r="E60" i="3" l="1"/>
  <c r="P83" i="3"/>
  <c r="K60" i="3"/>
  <c r="I76" i="3"/>
  <c r="I71" i="3"/>
  <c r="I78" i="3" l="1"/>
  <c r="K75" i="3"/>
  <c r="J74" i="3"/>
  <c r="J76" i="3" s="1"/>
  <c r="J70" i="3"/>
  <c r="J69" i="3"/>
  <c r="J68" i="3"/>
  <c r="J53" i="3"/>
  <c r="J54" i="3"/>
  <c r="J55" i="3"/>
  <c r="J71" i="3" l="1"/>
  <c r="J78" i="3" s="1"/>
  <c r="I62" i="3" l="1"/>
  <c r="K70" i="3" l="1"/>
  <c r="K69" i="3"/>
  <c r="K68" i="3"/>
  <c r="K55" i="3"/>
  <c r="K54" i="3"/>
  <c r="K53" i="3"/>
  <c r="K71" i="3" l="1"/>
  <c r="K74" i="3"/>
  <c r="K76" i="3" s="1"/>
  <c r="P57" i="3"/>
  <c r="K59" i="3" s="1"/>
  <c r="K78" i="3" l="1"/>
  <c r="O57" i="3"/>
  <c r="J59" i="3" s="1"/>
  <c r="O81" i="3"/>
  <c r="O71" i="3"/>
  <c r="D64" i="3" l="1"/>
  <c r="I82" i="3"/>
  <c r="P71" i="3"/>
  <c r="P81" i="3"/>
  <c r="I56" i="3"/>
  <c r="I64" i="3" s="1"/>
  <c r="D66" i="3" l="1"/>
  <c r="D68" i="3" s="1"/>
  <c r="E64" i="3"/>
  <c r="O51" i="3" l="1"/>
  <c r="J80" i="3" s="1"/>
  <c r="J82" i="3" s="1"/>
  <c r="D71" i="3"/>
  <c r="E66" i="3"/>
  <c r="E68" i="3" s="1"/>
  <c r="E71" i="3" l="1"/>
  <c r="P51" i="3"/>
  <c r="K80" i="3" l="1"/>
  <c r="K8" i="3" s="1"/>
  <c r="K9" i="3"/>
  <c r="O65" i="3"/>
  <c r="O85" i="3" s="1"/>
  <c r="O86" i="3" s="1"/>
  <c r="J61" i="3"/>
  <c r="K82" i="3" l="1"/>
  <c r="K11" i="3" s="1"/>
  <c r="J52" i="3"/>
  <c r="P65" i="3"/>
  <c r="P85" i="3" s="1"/>
  <c r="P86" i="3" s="1"/>
  <c r="K61" i="3"/>
  <c r="J62" i="3"/>
  <c r="J56" i="3" l="1"/>
  <c r="J64" i="3" s="1"/>
  <c r="K52" i="3"/>
  <c r="K7" i="3" s="1"/>
  <c r="K62" i="3"/>
  <c r="K56" i="3" l="1"/>
  <c r="K64" i="3" s="1"/>
  <c r="K10" i="3" s="1"/>
  <c r="I84" i="3" l="1"/>
  <c r="J84" i="3"/>
  <c r="K84" i="3" l="1"/>
  <c r="K12" i="3" s="1"/>
  <c r="K13" i="4" l="1"/>
  <c r="K15" i="4" s="1"/>
  <c r="H1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BIWS</author>
  </authors>
  <commentList>
    <comment ref="E18" authorId="0" shapeId="0" xr:uid="{D4BD1132-370F-4C69-81FE-624B7198781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This will result in a NEGATIVE because it's an EXPENSE!</t>
        </r>
      </text>
    </comment>
    <comment ref="E20" authorId="0" shapeId="0" xr:uid="{C684C659-7ECA-4C98-9813-4C7F21490229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This will result in a NEGATIVE because it's an EXPENSE!</t>
        </r>
      </text>
    </comment>
    <comment ref="E21" authorId="0" shapeId="0" xr:uid="{511EAA60-33C5-49BB-AD3B-44FA2C5FC8F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This will result in a NEGATIVE because it's an EXPENSE!</t>
        </r>
      </text>
    </comment>
    <comment ref="E23" authorId="0" shapeId="0" xr:uid="{771007B4-CDAD-4A4E-9230-C23791252318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This component never appears directly on the statements; it's used to calculate other lease components.</t>
        </r>
      </text>
    </comment>
    <comment ref="E24" authorId="0" shapeId="0" xr:uid="{0CF4BCFA-68AB-4BBE-98B7-AF47D90373F1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This will result in a NEGATIVE because it's an EXPENSE!</t>
        </r>
      </text>
    </comment>
    <comment ref="P24" authorId="0" shapeId="0" xr:uid="{958F29D1-A8FE-4100-B65D-C4A406DC655B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This is ALWAYS based on the Finance Lease Cash Payments - Finance Lease Interest Expense. Do not alter the formula.</t>
        </r>
      </text>
    </comment>
    <comment ref="E25" authorId="0" shapeId="0" xr:uid="{3DBA4F5F-8294-4904-A50F-5BDF72942E78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This will result in a NEGATIVE because it's an EXPENSE!</t>
        </r>
      </text>
    </comment>
    <comment ref="E28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This will result in a NEGATIVE because it's an EXPENSE!</t>
        </r>
      </text>
    </comment>
  </commentList>
</comments>
</file>

<file path=xl/sharedStrings.xml><?xml version="1.0" encoding="utf-8"?>
<sst xmlns="http://schemas.openxmlformats.org/spreadsheetml/2006/main" count="379" uniqueCount="215">
  <si>
    <t>Gross Profit:</t>
  </si>
  <si>
    <t>Operating Income:</t>
  </si>
  <si>
    <t>Pre-Tax Income:</t>
  </si>
  <si>
    <t>Current Assets:</t>
  </si>
  <si>
    <t>Total Current Assets:</t>
  </si>
  <si>
    <t>Total Assets:</t>
  </si>
  <si>
    <t>Current Liabilities:</t>
  </si>
  <si>
    <t>Accounts Payable:</t>
  </si>
  <si>
    <t>Total Current Liabilities:</t>
  </si>
  <si>
    <t>Cash Flow from Operations:</t>
  </si>
  <si>
    <t>Net Income:</t>
  </si>
  <si>
    <t>Deferred Revenue:</t>
  </si>
  <si>
    <t>Cash Flow from Investing:</t>
  </si>
  <si>
    <t>Cash Flow from Financing:</t>
  </si>
  <si>
    <t>Total Liabilities:</t>
  </si>
  <si>
    <t>Inventory:</t>
  </si>
  <si>
    <t>Accrued Expenses:</t>
  </si>
  <si>
    <t>Income Statement</t>
  </si>
  <si>
    <t>Balance Sheet</t>
  </si>
  <si>
    <t>Accounts Receivable:</t>
  </si>
  <si>
    <t>Long-Term Assets:</t>
  </si>
  <si>
    <t>Long-Term Liabilities:</t>
  </si>
  <si>
    <t>Cash Flow Statement</t>
  </si>
  <si>
    <t>Changes in Operating Assets &amp; Liabilities:</t>
  </si>
  <si>
    <t>Tax Rate:</t>
  </si>
  <si>
    <t>Revenue:</t>
  </si>
  <si>
    <t>Initial Cash Balance:</t>
  </si>
  <si>
    <t>Prepaid Expenses:</t>
  </si>
  <si>
    <t>Cash Changes By…</t>
  </si>
  <si>
    <t>Increases By:</t>
  </si>
  <si>
    <t>Decreases By:</t>
  </si>
  <si>
    <t>Beginning Cash:</t>
  </si>
  <si>
    <t>Total Long-Term Assets:</t>
  </si>
  <si>
    <t>Non-Cash Expenses &amp; Other Adjustments:</t>
  </si>
  <si>
    <t>Total Long-Term Liabilities:</t>
  </si>
  <si>
    <t>Total Liabilities &amp; Equity:</t>
  </si>
  <si>
    <t>Decreases By (This represents a COGS increase):</t>
  </si>
  <si>
    <t>Revenue Increases By:</t>
  </si>
  <si>
    <t>Operating Expenses Increases By:</t>
  </si>
  <si>
    <t>Income Statement Line Items (COGS Handled via Inventory):</t>
  </si>
  <si>
    <t>Depreciation Increases By:</t>
  </si>
  <si>
    <t>Stock-Based Compensation Increases By:</t>
  </si>
  <si>
    <t>Interest Income Increases By:</t>
  </si>
  <si>
    <t>Interest Expense Increases By:</t>
  </si>
  <si>
    <t>Cash Flow Statement Line Items:</t>
  </si>
  <si>
    <t>Capital Expenditures Increases By:</t>
  </si>
  <si>
    <t>Balance Sheet Balanced?</t>
  </si>
  <si>
    <t>Assumptions &amp; Model Output</t>
  </si>
  <si>
    <t>Assets Side Changes By…</t>
  </si>
  <si>
    <t>Liabilities &amp; Equity Side Changes By…</t>
  </si>
  <si>
    <t>Balance Sheet Still Balanced?</t>
  </si>
  <si>
    <t>Gain / (Loss) on Sale of PP&amp;E Changes By:</t>
  </si>
  <si>
    <t>Interview Questions - Possible Scenarios, by Statement</t>
  </si>
  <si>
    <t>Before</t>
  </si>
  <si>
    <t>After</t>
  </si>
  <si>
    <t>Current</t>
  </si>
  <si>
    <t>Here's What Happens on the Statements…</t>
  </si>
  <si>
    <t>End of Current</t>
  </si>
  <si>
    <t>Increase / (Decrease) in Cash:</t>
  </si>
  <si>
    <t>Operational Balance Sheet Line Items:</t>
  </si>
  <si>
    <t>Earnings Per Share (EPS):</t>
  </si>
  <si>
    <t>Share Price:</t>
  </si>
  <si>
    <t>Shares Outstanding (Millions):</t>
  </si>
  <si>
    <t>($ in Millions Except Per Share Amounts in $ as Stated)</t>
  </si>
  <si>
    <t>Common Dividends Increases By:</t>
  </si>
  <si>
    <t>Period:</t>
  </si>
  <si>
    <t>Changes:</t>
  </si>
  <si>
    <t>Common Shares (MM):</t>
  </si>
  <si>
    <t>Book Value of PP&amp;E Disposals Increases By:</t>
  </si>
  <si>
    <t>(+) Interest Income:</t>
  </si>
  <si>
    <t>(-) Interest Expense:</t>
  </si>
  <si>
    <t>(+) Depreciation:</t>
  </si>
  <si>
    <t>(+) Stock-Based Compensation:</t>
  </si>
  <si>
    <t>(-) Capital Expenditures:</t>
  </si>
  <si>
    <t>(+) PP&amp;E Sale Proceeds:</t>
  </si>
  <si>
    <t>(-) Common Dividends Issued:</t>
  </si>
  <si>
    <t>Starting Assumptions:</t>
  </si>
  <si>
    <t>(+) Gain / (-) Loss on PP&amp;E Sale:</t>
  </si>
  <si>
    <t>(-) Gain / (+) Loss on PP&amp;E Sale:</t>
  </si>
  <si>
    <t>(+) Issue Debt:</t>
  </si>
  <si>
    <t>(-) Repay Debt:</t>
  </si>
  <si>
    <t>ASSETS:</t>
  </si>
  <si>
    <t>LIABILITIES &amp; EQUITY:</t>
  </si>
  <si>
    <t>(-) Income Tax Provision:</t>
  </si>
  <si>
    <t>(+/-) Deferred Income Taxes:</t>
  </si>
  <si>
    <t>Net Deferred Tax Asset (DTA):</t>
  </si>
  <si>
    <t>Common Shareholders' Equity Changes By…</t>
  </si>
  <si>
    <t>Debt:</t>
  </si>
  <si>
    <t>Cash:</t>
  </si>
  <si>
    <t>Beginning</t>
  </si>
  <si>
    <t>of</t>
  </si>
  <si>
    <t>(+) Issue Finance Leases:</t>
  </si>
  <si>
    <t>(+) Issue New Common Shares:</t>
  </si>
  <si>
    <t>CASH FLOW FROM OPERATING ACTIVITIES:</t>
  </si>
  <si>
    <t>CASH FLOW FROM INVESTING ACTIVITIES:</t>
  </si>
  <si>
    <t>CASH FLOW FROM FINANCING ACTIVITIES:</t>
  </si>
  <si>
    <t>Accounts Receivable (Linked to Revenue):</t>
  </si>
  <si>
    <t>Inventory (Linked to COGS):</t>
  </si>
  <si>
    <t>Deferred Revenue (Linked to Revenue):</t>
  </si>
  <si>
    <t>Issue New Common Shares Increases By:</t>
  </si>
  <si>
    <t>Repurchase Common Shares Increases By:</t>
  </si>
  <si>
    <t>Prepaid Expenses (Linked to OpEx):</t>
  </si>
  <si>
    <t>Accrued Expenses (Linked to OpEx):</t>
  </si>
  <si>
    <t>Accounts Payable (Linked to OpEx):</t>
  </si>
  <si>
    <t>(-) Repurchase Common Shares:</t>
  </si>
  <si>
    <t>Issue Debt Increases By:</t>
  </si>
  <si>
    <t>Repay Debt Increases By:</t>
  </si>
  <si>
    <t>Issue Finance Leases Increases By:</t>
  </si>
  <si>
    <t>Net Property, Plant &amp; Equipment (PP&amp;E):</t>
  </si>
  <si>
    <t>Ending Cash:</t>
  </si>
  <si>
    <t>Common Shareholders' Equity:</t>
  </si>
  <si>
    <t>Finance Lease Cash Payment Increases By:</t>
  </si>
  <si>
    <t>Finance Lease Depreciation Increases By:</t>
  </si>
  <si>
    <t>Finance Lease Interest Expense Increases By:</t>
  </si>
  <si>
    <t>(+) Lease Depreciation:</t>
  </si>
  <si>
    <t>Finance Lease Assets:</t>
  </si>
  <si>
    <t>(-) Additions to Finance Lease Assets:</t>
  </si>
  <si>
    <t>Finance Lease Liabilities:</t>
  </si>
  <si>
    <t>Accounting and Three-Statement Interview Questions (Simplified Version)</t>
  </si>
  <si>
    <t>(+/-) Accounts Receivable:</t>
  </si>
  <si>
    <t>(+/-) Prepaid Expenses:</t>
  </si>
  <si>
    <t>(+/-) Inventory:</t>
  </si>
  <si>
    <t>(+/-) Accounts Payable:</t>
  </si>
  <si>
    <t>(+/-) Accrued Expenses:</t>
  </si>
  <si>
    <t>(+/-) Deferred Revenue:</t>
  </si>
  <si>
    <t>Net Income Changes By….</t>
  </si>
  <si>
    <t>(-) Cash Operating Expenses:</t>
  </si>
  <si>
    <t>(-) Depreciation:</t>
  </si>
  <si>
    <t>(-) Stock-Based Compensation:</t>
  </si>
  <si>
    <t>Total Operating Expenses:</t>
  </si>
  <si>
    <t>(-) Lease Depreciation:</t>
  </si>
  <si>
    <t>Finance Lease Principal Repayments Increases By:</t>
  </si>
  <si>
    <t>(-) Finance Lease Principal Repayments:</t>
  </si>
  <si>
    <t>(-) Cost of Services or COGS:</t>
  </si>
  <si>
    <t>Cost of Services (Use for Deferred Revenue Recognition as Revenue):</t>
  </si>
  <si>
    <t>($ in Millions Except Per Share and Per Unit Data)</t>
  </si>
  <si>
    <t>Enterprise Value:</t>
  </si>
  <si>
    <t>Effective Tax Rate:</t>
  </si>
  <si>
    <t>Years in Projection Period:</t>
  </si>
  <si>
    <t>Risk-Free Rate:</t>
  </si>
  <si>
    <t>Baseline Terminal Value:</t>
  </si>
  <si>
    <t>Equity Risk Premium:</t>
  </si>
  <si>
    <t>Median Unlevered Beta for Comparables:</t>
  </si>
  <si>
    <t>(+) PV of Terminal Value:</t>
  </si>
  <si>
    <t>(+) Sum of PV of Free Cash Flows:</t>
  </si>
  <si>
    <t>Implied Enterprise Value:</t>
  </si>
  <si>
    <t>Discount Rate (WACC):</t>
  </si>
  <si>
    <t>Projected:</t>
  </si>
  <si>
    <t>Unlevered Free Cash Flow Projections:</t>
  </si>
  <si>
    <t>Units: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</si>
  <si>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</si>
  <si>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</si>
  <si>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</si>
  <si>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</si>
  <si>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</si>
  <si>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</si>
  <si>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</si>
  <si>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</si>
  <si>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</si>
  <si>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</si>
  <si>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$ M</t>
  </si>
  <si>
    <t>Operating Income (EBIT):</t>
  </si>
  <si>
    <t>(-) Taxes, Excluding Effect of Interest:</t>
  </si>
  <si>
    <t>Net Operating Profit After Tax (NOPAT):</t>
  </si>
  <si>
    <t>Annual Unlevered Free Cash Flow:</t>
  </si>
  <si>
    <t>Annual Free Cash Flow Growth Rate:</t>
  </si>
  <si>
    <t>%</t>
  </si>
  <si>
    <t>Annual EBITDA:</t>
  </si>
  <si>
    <t>Annual EBITDA Growth Rate:</t>
  </si>
  <si>
    <t>Growth Rate:</t>
  </si>
  <si>
    <t>% Revenue:</t>
  </si>
  <si>
    <t>(-) Depreciation &amp; Amortization:</t>
  </si>
  <si>
    <t>(+) Depreciation &amp; Amortization:</t>
  </si>
  <si>
    <t>(+/-) Change in Working Capital:</t>
  </si>
  <si>
    <t>D&amp;A % Revenue:</t>
  </si>
  <si>
    <t>CapEx % Revenue:</t>
  </si>
  <si>
    <t>Change in WC % Change in Revenue:</t>
  </si>
  <si>
    <t>Annual EBITDA Margin:</t>
  </si>
  <si>
    <t>Terminal Value - Perpetuity Growth Rate Method:</t>
  </si>
  <si>
    <t>Baseline Terminal FCF Growth Rate:</t>
  </si>
  <si>
    <t>Targeted Debt / Total Capital Ratio:</t>
  </si>
  <si>
    <t>Debt / Equity Ratio:</t>
  </si>
  <si>
    <t>Relevered Beta:</t>
  </si>
  <si>
    <t>Pre-Tax Cost of Debt:</t>
  </si>
  <si>
    <t>After-Tax Cost of Debt:</t>
  </si>
  <si>
    <t>#</t>
  </si>
  <si>
    <t># Years</t>
  </si>
  <si>
    <t>Cost of Equity:</t>
  </si>
  <si>
    <t>Depreciation % Revenue:</t>
  </si>
  <si>
    <t>Assumptions and Output:</t>
  </si>
  <si>
    <t>($ in Million Except Per Share Data)</t>
  </si>
  <si>
    <t>Equity Value:</t>
  </si>
  <si>
    <t>P / E:</t>
  </si>
  <si>
    <t>Company A - Income Statement:</t>
  </si>
  <si>
    <t>Company B - Income Statement:</t>
  </si>
  <si>
    <t>Revenue Growth:</t>
  </si>
  <si>
    <t>Gross Margin:</t>
  </si>
  <si>
    <t>Operating Margin:</t>
  </si>
  <si>
    <t>(-) Costs of Goods Sold:</t>
  </si>
  <si>
    <t>(-) Net Interest Expense:</t>
  </si>
  <si>
    <t>(-) Income Taxes:</t>
  </si>
  <si>
    <t>Company A:</t>
  </si>
  <si>
    <t>Company B:</t>
  </si>
  <si>
    <t>x</t>
  </si>
  <si>
    <t>Interest Rate on Debt:</t>
  </si>
  <si>
    <t>Interest Rate on Cash:</t>
  </si>
  <si>
    <t>COGS % Revenue:</t>
  </si>
  <si>
    <t>Cash OpEx % Revenue:</t>
  </si>
  <si>
    <t>EBITDA:</t>
  </si>
  <si>
    <t>EBITDA Margin:</t>
  </si>
  <si>
    <t>TEV / EBITDA:</t>
  </si>
  <si>
    <t>How Capital Structure and Depreciation Policies Distort P / E Multiples</t>
  </si>
  <si>
    <t>(-) Cash:</t>
  </si>
  <si>
    <t>(+) Debt:</t>
  </si>
  <si>
    <t>Illustrative DCF Analysis and the Impact of Depreciation and CapEx on Implied Enterprise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</si>
</sst>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;[Red]\(0.0%\)"/>
    <numFmt numFmtId="166" formatCode="&quot;$&quot;#,##0_);\(&quot;$&quot;#,##0\);&quot;OK!&quot;;&quot;ERROR&quot;"/>
    <numFmt numFmtId="167" formatCode="_(&quot;$&quot;* #,##0.0_);_(&quot;$&quot;* \(#,##0.0\);_(&quot;$&quot;* &quot;-&quot;_);_(@_)"/>
    <numFmt numFmtId="168" formatCode="_(&quot;$&quot;* #,##0_);_(&quot;$&quot;* \(#,##0\);&quot;OK!&quot;;&quot;ERROR&quot;"/>
    <numFmt numFmtId="169" formatCode="_(#,##0.00_);\(#,##0.00\);_(&quot;–&quot;_);_(@_)"/>
    <numFmt numFmtId="170" formatCode="0.0%;\(0.0%\)"/>
    <numFmt numFmtId="171" formatCode="_(* #,##0.0_);_(* \(#,##0.0\);_(* &quot;-&quot;?_);_(@_)"/>
    <numFmt numFmtId="172" formatCode="_(0.00%_);\(0.00%\);_(&quot;–&quot;_)_%;_(@_)_%"/>
    <numFmt numFmtId="173" formatCode="&quot;FY&quot;yy"/>
    <numFmt numFmtId="174" formatCode="0.0%"/>
    <numFmt numFmtId="175" formatCode="_(0.0%_);\(0.0%\);_(&quot;–&quot;_);_(@_)"/>
    <numFmt numFmtId="176" formatCode="0.0%_);\(0.0%\);\-_%_);@_)"/>
    <numFmt numFmtId="177" formatCode="_([$$-409]* #,##0_);_([$$-409]* \(#,##0\);_([$$-409]* &quot;-&quot;??_);_(@_)"/>
    <numFmt numFmtId="178" formatCode="_(* #,##0_);_(* \(#,##0\);_(* &quot;-&quot;??_);_(@_)"/>
    <numFmt numFmtId="179" formatCode="_(&quot;$&quot;* #,##0_);_(&quot;$&quot;* \(#,##0\);_(&quot;$&quot;* &quot;-&quot;?_);_(@_)"/>
    <numFmt numFmtId="180" formatCode="_(* #,##0_);_(* \(#,##0\);_(* &quot;-&quot;?_);_(@_)"/>
    <numFmt numFmtId="181" formatCode="0.0\ \x"/>
  </numFmts>
  <fonts count="4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u/>
      <sz val="12"/>
      <color rgb="FFFFFFFF"/>
      <name val="Arial"/>
      <family val="2"/>
    </font>
    <font>
      <u/>
      <sz val="12"/>
      <color rgb="FFFFFFFF"/>
      <name val="Arial"/>
      <family val="2"/>
    </font>
    <font>
      <b/>
      <sz val="12"/>
      <color rgb="FFFFFFFF"/>
      <name val="Arial"/>
      <family val="2"/>
    </font>
    <font>
      <u/>
      <sz val="12"/>
      <name val="Arial"/>
      <family val="2"/>
    </font>
    <font>
      <u/>
      <sz val="12"/>
      <color indexed="9"/>
      <name val="Arial"/>
      <family val="2"/>
    </font>
    <font>
      <sz val="12"/>
      <color rgb="FF00B050"/>
      <name val="Calibri"/>
      <family val="2"/>
      <scheme val="minor"/>
    </font>
    <font>
      <sz val="12"/>
      <color rgb="FF0000FF"/>
      <name val="Calibri"/>
      <family val="2"/>
      <scheme val="minor"/>
    </font>
    <font>
      <sz val="12"/>
      <name val="Calibri"/>
      <family val="2"/>
      <scheme val="minor"/>
    </font>
    <font>
      <sz val="12"/>
      <color theme="4"/>
      <name val="Calibri"/>
      <family val="2"/>
      <scheme val="minor"/>
    </font>
    <font>
      <sz val="12"/>
      <color rgb="FFFFFFFF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0016E4"/>
      <name val="Calibri"/>
      <family val="2"/>
      <scheme val="minor"/>
    </font>
    <font>
      <sz val="12"/>
      <color rgb="FF0016E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i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12"/>
      <color rgb="FF0000FF"/>
      <name val="Calibri"/>
      <family val="2"/>
    </font>
    <font>
      <sz val="12"/>
      <name val="Calibri"/>
      <family val="2"/>
    </font>
    <font>
      <sz val="11"/>
      <color rgb="FF0000FF"/>
      <name val="Calibri"/>
      <family val="2"/>
    </font>
    <font>
      <b/>
      <sz val="12"/>
      <color rgb="FF0000FF"/>
      <name val="Calibri"/>
      <family val="2"/>
      <scheme val="minor"/>
    </font>
    <font>
      <i/>
      <sz val="12"/>
      <color theme="1"/>
      <name val="Calibri"/>
      <family val="2"/>
    </font>
    <font>
      <i/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theme="0" tint="-0.14999847407452621"/>
      <name val="Calibri"/>
      <family val="2"/>
      <scheme val="minor"/>
    </font>
    <font>
      <i/>
      <sz val="12"/>
      <color rgb="FF0000FF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1F497D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</borders>
  <cellStyleXfs count="4">
    <xf numFmtId="0" fontId="0" fillId="0" borderId="0"/>
    <xf numFmtId="0" fontId="5" fillId="0" borderId="0"/>
    <xf numFmtId="0" fontId="27" fillId="0" borderId="0"/>
    <xf numFmtId="0" fontId="35" fillId="2" borderId="8" applyNumberFormat="0" applyAlignment="0" applyProtection="0"/>
  </cellStyleXfs>
  <cellXfs count="186">
    <xf numFmtId="0" fontId="0" fillId="0" borderId="0" xfId="0"/>
    <xf numFmtId="0" fontId="8" fillId="0" borderId="0" xfId="0" applyFont="1"/>
    <xf numFmtId="0" fontId="9" fillId="0" borderId="0" xfId="0" applyFont="1"/>
    <xf numFmtId="0" fontId="10" fillId="4" borderId="2" xfId="0" applyFont="1" applyFill="1" applyBorder="1" applyAlignment="1">
      <alignment horizontal="left"/>
    </xf>
    <xf numFmtId="0" fontId="11" fillId="4" borderId="2" xfId="0" applyFont="1" applyFill="1" applyBorder="1" applyAlignment="1">
      <alignment horizontal="left"/>
    </xf>
    <xf numFmtId="0" fontId="12" fillId="4" borderId="2" xfId="0" applyFont="1" applyFill="1" applyBorder="1" applyAlignment="1">
      <alignment horizontal="left"/>
    </xf>
    <xf numFmtId="0" fontId="13" fillId="4" borderId="2" xfId="0" applyFont="1" applyFill="1" applyBorder="1" applyAlignment="1">
      <alignment horizontal="left"/>
    </xf>
    <xf numFmtId="0" fontId="1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8" fillId="3" borderId="2" xfId="0" applyFont="1" applyFill="1" applyBorder="1"/>
    <xf numFmtId="0" fontId="9" fillId="3" borderId="2" xfId="0" applyFont="1" applyFill="1" applyBorder="1"/>
    <xf numFmtId="0" fontId="9" fillId="0" borderId="0" xfId="0" applyFont="1" applyAlignment="1">
      <alignment horizontal="left"/>
    </xf>
    <xf numFmtId="9" fontId="16" fillId="0" borderId="0" xfId="0" applyNumberFormat="1" applyFont="1"/>
    <xf numFmtId="9" fontId="17" fillId="2" borderId="3" xfId="0" applyNumberFormat="1" applyFont="1" applyFill="1" applyBorder="1" applyAlignment="1">
      <alignment horizontal="center"/>
    </xf>
    <xf numFmtId="42" fontId="18" fillId="0" borderId="0" xfId="0" applyNumberFormat="1" applyFont="1"/>
    <xf numFmtId="9" fontId="19" fillId="0" borderId="0" xfId="0" applyNumberFormat="1" applyFont="1"/>
    <xf numFmtId="0" fontId="9" fillId="0" borderId="0" xfId="0" applyFont="1" applyAlignment="1">
      <alignment horizontal="left" indent="1"/>
    </xf>
    <xf numFmtId="44" fontId="17" fillId="2" borderId="3" xfId="0" applyNumberFormat="1" applyFont="1" applyFill="1" applyBorder="1"/>
    <xf numFmtId="37" fontId="17" fillId="2" borderId="3" xfId="0" applyNumberFormat="1" applyFont="1" applyFill="1" applyBorder="1"/>
    <xf numFmtId="6" fontId="19" fillId="0" borderId="0" xfId="0" applyNumberFormat="1" applyFont="1"/>
    <xf numFmtId="42" fontId="17" fillId="2" borderId="3" xfId="0" applyNumberFormat="1" applyFont="1" applyFill="1" applyBorder="1"/>
    <xf numFmtId="42" fontId="19" fillId="0" borderId="0" xfId="0" applyNumberFormat="1" applyFont="1"/>
    <xf numFmtId="0" fontId="20" fillId="4" borderId="2" xfId="0" applyFont="1" applyFill="1" applyBorder="1"/>
    <xf numFmtId="0" fontId="18" fillId="0" borderId="0" xfId="0" applyFont="1"/>
    <xf numFmtId="0" fontId="8" fillId="0" borderId="0" xfId="0" applyFont="1" applyAlignment="1">
      <alignment horizontal="left"/>
    </xf>
    <xf numFmtId="41" fontId="9" fillId="0" borderId="0" xfId="0" applyNumberFormat="1" applyFont="1"/>
    <xf numFmtId="0" fontId="8" fillId="0" borderId="1" xfId="0" applyFont="1" applyBorder="1"/>
    <xf numFmtId="0" fontId="8" fillId="3" borderId="1" xfId="0" applyFont="1" applyFill="1" applyBorder="1" applyAlignment="1">
      <alignment horizontal="centerContinuous"/>
    </xf>
    <xf numFmtId="0" fontId="21" fillId="0" borderId="0" xfId="0" applyFont="1" applyAlignment="1">
      <alignment horizontal="center"/>
    </xf>
    <xf numFmtId="0" fontId="21" fillId="3" borderId="0" xfId="0" applyFont="1" applyFill="1" applyAlignment="1">
      <alignment horizontal="centerContinuous"/>
    </xf>
    <xf numFmtId="0" fontId="21" fillId="3" borderId="0" xfId="0" applyFont="1" applyFill="1" applyAlignment="1">
      <alignment horizontal="center"/>
    </xf>
    <xf numFmtId="0" fontId="21" fillId="3" borderId="2" xfId="0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9" fillId="0" borderId="0" xfId="0" applyFont="1" applyAlignment="1">
      <alignment horizontal="centerContinuous"/>
    </xf>
    <xf numFmtId="0" fontId="8" fillId="0" borderId="0" xfId="0" applyFont="1" applyAlignment="1">
      <alignment horizontal="centerContinuous"/>
    </xf>
    <xf numFmtId="42" fontId="23" fillId="0" borderId="0" xfId="0" applyNumberFormat="1" applyFont="1"/>
    <xf numFmtId="42" fontId="21" fillId="0" borderId="0" xfId="0" applyNumberFormat="1" applyFont="1"/>
    <xf numFmtId="6" fontId="21" fillId="0" borderId="0" xfId="0" applyNumberFormat="1" applyFont="1"/>
    <xf numFmtId="6" fontId="22" fillId="0" borderId="0" xfId="0" applyNumberFormat="1" applyFont="1"/>
    <xf numFmtId="41" fontId="24" fillId="0" borderId="0" xfId="0" applyNumberFormat="1" applyFont="1"/>
    <xf numFmtId="41" fontId="18" fillId="0" borderId="0" xfId="0" applyNumberFormat="1" applyFont="1"/>
    <xf numFmtId="42" fontId="8" fillId="0" borderId="0" xfId="0" applyNumberFormat="1" applyFont="1"/>
    <xf numFmtId="0" fontId="8" fillId="0" borderId="1" xfId="0" applyFont="1" applyBorder="1" applyAlignment="1">
      <alignment horizontal="left"/>
    </xf>
    <xf numFmtId="41" fontId="8" fillId="0" borderId="1" xfId="0" applyNumberFormat="1" applyFont="1" applyBorder="1"/>
    <xf numFmtId="41" fontId="21" fillId="0" borderId="1" xfId="0" applyNumberFormat="1" applyFont="1" applyBorder="1"/>
    <xf numFmtId="6" fontId="16" fillId="0" borderId="0" xfId="0" applyNumberFormat="1" applyFont="1"/>
    <xf numFmtId="6" fontId="8" fillId="0" borderId="0" xfId="0" applyNumberFormat="1" applyFont="1"/>
    <xf numFmtId="6" fontId="18" fillId="0" borderId="0" xfId="0" applyNumberFormat="1" applyFont="1"/>
    <xf numFmtId="0" fontId="8" fillId="0" borderId="0" xfId="0" applyFont="1" applyAlignment="1">
      <alignment horizontal="left" indent="1"/>
    </xf>
    <xf numFmtId="41" fontId="8" fillId="0" borderId="0" xfId="0" applyNumberFormat="1" applyFont="1"/>
    <xf numFmtId="41" fontId="21" fillId="0" borderId="0" xfId="0" applyNumberFormat="1" applyFont="1"/>
    <xf numFmtId="164" fontId="22" fillId="0" borderId="0" xfId="0" applyNumberFormat="1" applyFont="1"/>
    <xf numFmtId="37" fontId="9" fillId="0" borderId="0" xfId="0" applyNumberFormat="1" applyFont="1"/>
    <xf numFmtId="37" fontId="18" fillId="0" borderId="0" xfId="0" applyNumberFormat="1" applyFont="1"/>
    <xf numFmtId="44" fontId="9" fillId="0" borderId="0" xfId="0" applyNumberFormat="1" applyFont="1"/>
    <xf numFmtId="44" fontId="18" fillId="0" borderId="0" xfId="0" applyNumberFormat="1" applyFont="1"/>
    <xf numFmtId="5" fontId="18" fillId="0" borderId="0" xfId="0" applyNumberFormat="1" applyFont="1"/>
    <xf numFmtId="8" fontId="8" fillId="0" borderId="0" xfId="0" applyNumberFormat="1" applyFont="1"/>
    <xf numFmtId="3" fontId="18" fillId="0" borderId="0" xfId="0" applyNumberFormat="1" applyFont="1"/>
    <xf numFmtId="0" fontId="8" fillId="0" borderId="0" xfId="0" applyFont="1" applyAlignment="1">
      <alignment horizontal="center"/>
    </xf>
    <xf numFmtId="164" fontId="9" fillId="0" borderId="0" xfId="0" applyNumberFormat="1" applyFont="1"/>
    <xf numFmtId="0" fontId="25" fillId="0" borderId="0" xfId="0" applyFont="1"/>
    <xf numFmtId="0" fontId="4" fillId="0" borderId="0" xfId="0" applyFont="1"/>
    <xf numFmtId="42" fontId="24" fillId="0" borderId="0" xfId="0" applyNumberFormat="1" applyFont="1"/>
    <xf numFmtId="0" fontId="3" fillId="0" borderId="0" xfId="0" applyFont="1" applyAlignment="1">
      <alignment horizontal="left" indent="1"/>
    </xf>
    <xf numFmtId="0" fontId="3" fillId="0" borderId="0" xfId="0" applyFont="1" applyAlignment="1">
      <alignment horizontal="left"/>
    </xf>
    <xf numFmtId="166" fontId="9" fillId="0" borderId="0" xfId="0" applyNumberFormat="1" applyFont="1" applyAlignment="1">
      <alignment horizontal="center"/>
    </xf>
    <xf numFmtId="49" fontId="8" fillId="3" borderId="4" xfId="0" applyNumberFormat="1" applyFont="1" applyFill="1" applyBorder="1"/>
    <xf numFmtId="0" fontId="8" fillId="3" borderId="4" xfId="0" applyFont="1" applyFill="1" applyBorder="1"/>
    <xf numFmtId="165" fontId="18" fillId="0" borderId="0" xfId="0" applyNumberFormat="1" applyFont="1" applyAlignment="1">
      <alignment horizontal="left" indent="1"/>
    </xf>
    <xf numFmtId="43" fontId="9" fillId="0" borderId="0" xfId="0" applyNumberFormat="1" applyFont="1"/>
    <xf numFmtId="0" fontId="21" fillId="3" borderId="5" xfId="0" applyFont="1" applyFill="1" applyBorder="1" applyAlignment="1">
      <alignment horizontal="centerContinuous"/>
    </xf>
    <xf numFmtId="168" fontId="8" fillId="0" borderId="0" xfId="0" applyNumberFormat="1" applyFont="1"/>
    <xf numFmtId="0" fontId="2" fillId="0" borderId="0" xfId="0" applyFont="1" applyAlignment="1">
      <alignment horizontal="left" indent="1"/>
    </xf>
    <xf numFmtId="0" fontId="21" fillId="3" borderId="6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41" fontId="23" fillId="0" borderId="0" xfId="0" applyNumberFormat="1" applyFont="1"/>
    <xf numFmtId="0" fontId="2" fillId="0" borderId="0" xfId="0" applyFont="1" applyAlignment="1">
      <alignment horizontal="left"/>
    </xf>
    <xf numFmtId="41" fontId="17" fillId="2" borderId="3" xfId="0" applyNumberFormat="1" applyFont="1" applyFill="1" applyBorder="1"/>
    <xf numFmtId="0" fontId="2" fillId="0" borderId="0" xfId="0" applyFont="1"/>
    <xf numFmtId="41" fontId="17" fillId="0" borderId="0" xfId="0" applyNumberFormat="1" applyFont="1"/>
    <xf numFmtId="167" fontId="17" fillId="0" borderId="0" xfId="0" applyNumberFormat="1" applyFont="1"/>
    <xf numFmtId="0" fontId="10" fillId="0" borderId="0" xfId="0" applyFont="1" applyAlignment="1">
      <alignment horizontal="left"/>
    </xf>
    <xf numFmtId="0" fontId="21" fillId="0" borderId="0" xfId="0" applyFont="1" applyAlignment="1">
      <alignment horizontal="centerContinuous"/>
    </xf>
    <xf numFmtId="0" fontId="13" fillId="0" borderId="0" xfId="0" applyFont="1" applyAlignment="1">
      <alignment horizontal="left"/>
    </xf>
    <xf numFmtId="0" fontId="2" fillId="0" borderId="2" xfId="0" applyFont="1" applyBorder="1" applyAlignment="1">
      <alignment horizontal="left" indent="1"/>
    </xf>
    <xf numFmtId="41" fontId="18" fillId="0" borderId="1" xfId="0" applyNumberFormat="1" applyFont="1" applyBorder="1"/>
    <xf numFmtId="0" fontId="25" fillId="0" borderId="0" xfId="2" applyFont="1"/>
    <xf numFmtId="0" fontId="2" fillId="0" borderId="0" xfId="2" applyFont="1"/>
    <xf numFmtId="0" fontId="28" fillId="0" borderId="0" xfId="2" applyFont="1"/>
    <xf numFmtId="0" fontId="29" fillId="4" borderId="0" xfId="2" applyFont="1" applyFill="1"/>
    <xf numFmtId="0" fontId="30" fillId="4" borderId="0" xfId="2" applyFont="1" applyFill="1"/>
    <xf numFmtId="0" fontId="31" fillId="4" borderId="2" xfId="2" applyFont="1" applyFill="1" applyBorder="1"/>
    <xf numFmtId="0" fontId="32" fillId="4" borderId="2" xfId="2" applyFont="1" applyFill="1" applyBorder="1"/>
    <xf numFmtId="0" fontId="29" fillId="4" borderId="2" xfId="2" applyFont="1" applyFill="1" applyBorder="1"/>
    <xf numFmtId="169" fontId="1" fillId="0" borderId="0" xfId="2" applyNumberFormat="1" applyFont="1" applyAlignment="1">
      <alignment horizontal="center"/>
    </xf>
    <xf numFmtId="0" fontId="1" fillId="0" borderId="0" xfId="2" applyFont="1"/>
    <xf numFmtId="170" fontId="33" fillId="2" borderId="8" xfId="3" applyNumberFormat="1" applyFont="1" applyAlignment="1">
      <alignment horizontal="center"/>
    </xf>
    <xf numFmtId="0" fontId="18" fillId="0" borderId="0" xfId="1" applyFont="1"/>
    <xf numFmtId="0" fontId="8" fillId="3" borderId="2" xfId="2" applyFont="1" applyFill="1" applyBorder="1" applyAlignment="1">
      <alignment horizontal="centerContinuous"/>
    </xf>
    <xf numFmtId="0" fontId="2" fillId="3" borderId="2" xfId="2" applyFont="1" applyFill="1" applyBorder="1" applyAlignment="1">
      <alignment horizontal="centerContinuous"/>
    </xf>
    <xf numFmtId="172" fontId="17" fillId="2" borderId="9" xfId="2" applyNumberFormat="1" applyFont="1" applyFill="1" applyBorder="1" applyAlignment="1">
      <alignment horizontal="center"/>
    </xf>
    <xf numFmtId="170" fontId="18" fillId="0" borderId="0" xfId="1" applyNumberFormat="1" applyFont="1"/>
    <xf numFmtId="172" fontId="17" fillId="0" borderId="0" xfId="2" applyNumberFormat="1" applyFont="1" applyAlignment="1">
      <alignment horizontal="center"/>
    </xf>
    <xf numFmtId="2" fontId="17" fillId="2" borderId="9" xfId="2" applyNumberFormat="1" applyFont="1" applyFill="1" applyBorder="1" applyAlignment="1">
      <alignment horizontal="center"/>
    </xf>
    <xf numFmtId="0" fontId="18" fillId="0" borderId="0" xfId="1" applyFont="1" applyAlignment="1">
      <alignment horizontal="left" indent="1"/>
    </xf>
    <xf numFmtId="0" fontId="18" fillId="0" borderId="2" xfId="1" applyFont="1" applyBorder="1" applyAlignment="1">
      <alignment horizontal="left" indent="1"/>
    </xf>
    <xf numFmtId="0" fontId="18" fillId="0" borderId="2" xfId="1" applyFont="1" applyBorder="1"/>
    <xf numFmtId="0" fontId="21" fillId="0" borderId="0" xfId="1" applyFont="1"/>
    <xf numFmtId="0" fontId="31" fillId="4" borderId="10" xfId="2" applyFont="1" applyFill="1" applyBorder="1" applyAlignment="1">
      <alignment horizontal="centerContinuous"/>
    </xf>
    <xf numFmtId="0" fontId="29" fillId="4" borderId="10" xfId="2" applyFont="1" applyFill="1" applyBorder="1" applyAlignment="1">
      <alignment horizontal="centerContinuous"/>
    </xf>
    <xf numFmtId="0" fontId="32" fillId="4" borderId="2" xfId="2" applyFont="1" applyFill="1" applyBorder="1" applyAlignment="1">
      <alignment horizontal="center"/>
    </xf>
    <xf numFmtId="173" fontId="31" fillId="4" borderId="2" xfId="2" applyNumberFormat="1" applyFont="1" applyFill="1" applyBorder="1" applyAlignment="1">
      <alignment horizontal="center"/>
    </xf>
    <xf numFmtId="0" fontId="26" fillId="0" borderId="0" xfId="2" applyFont="1"/>
    <xf numFmtId="0" fontId="28" fillId="0" borderId="0" xfId="2" applyFont="1" applyAlignment="1">
      <alignment horizontal="center"/>
    </xf>
    <xf numFmtId="0" fontId="37" fillId="0" borderId="0" xfId="2" applyFont="1" applyAlignment="1">
      <alignment horizontal="left" indent="1"/>
    </xf>
    <xf numFmtId="170" fontId="38" fillId="0" borderId="0" xfId="2" applyNumberFormat="1" applyFont="1"/>
    <xf numFmtId="9" fontId="28" fillId="0" borderId="0" xfId="2" applyNumberFormat="1" applyFont="1"/>
    <xf numFmtId="171" fontId="39" fillId="0" borderId="0" xfId="2" applyNumberFormat="1" applyFont="1"/>
    <xf numFmtId="0" fontId="26" fillId="5" borderId="0" xfId="2" applyFont="1" applyFill="1"/>
    <xf numFmtId="0" fontId="28" fillId="5" borderId="0" xfId="2" applyFont="1" applyFill="1" applyAlignment="1">
      <alignment horizontal="center"/>
    </xf>
    <xf numFmtId="0" fontId="26" fillId="6" borderId="0" xfId="2" applyFont="1" applyFill="1"/>
    <xf numFmtId="0" fontId="28" fillId="6" borderId="0" xfId="2" applyFont="1" applyFill="1" applyAlignment="1">
      <alignment horizontal="center"/>
    </xf>
    <xf numFmtId="0" fontId="28" fillId="0" borderId="0" xfId="2" applyFont="1" applyAlignment="1">
      <alignment horizontal="left" indent="1"/>
    </xf>
    <xf numFmtId="0" fontId="1" fillId="0" borderId="0" xfId="2" applyFont="1" applyAlignment="1">
      <alignment horizontal="left" indent="1"/>
    </xf>
    <xf numFmtId="0" fontId="38" fillId="0" borderId="0" xfId="1" applyFont="1" applyAlignment="1">
      <alignment horizontal="center"/>
    </xf>
    <xf numFmtId="170" fontId="17" fillId="2" borderId="8" xfId="2" applyNumberFormat="1" applyFont="1" applyFill="1" applyBorder="1" applyAlignment="1">
      <alignment horizontal="center"/>
    </xf>
    <xf numFmtId="175" fontId="17" fillId="2" borderId="8" xfId="1" applyNumberFormat="1" applyFont="1" applyFill="1" applyBorder="1" applyAlignment="1">
      <alignment horizontal="center"/>
    </xf>
    <xf numFmtId="170" fontId="33" fillId="0" borderId="0" xfId="3" applyNumberFormat="1" applyFont="1" applyFill="1" applyBorder="1" applyAlignment="1">
      <alignment horizontal="center"/>
    </xf>
    <xf numFmtId="170" fontId="34" fillId="0" borderId="0" xfId="3" applyNumberFormat="1" applyFont="1" applyFill="1" applyBorder="1" applyAlignment="1">
      <alignment horizontal="center"/>
    </xf>
    <xf numFmtId="0" fontId="28" fillId="0" borderId="2" xfId="2" applyFont="1" applyBorder="1" applyAlignment="1">
      <alignment horizontal="center"/>
    </xf>
    <xf numFmtId="0" fontId="18" fillId="7" borderId="12" xfId="1" applyFont="1" applyFill="1" applyBorder="1"/>
    <xf numFmtId="0" fontId="18" fillId="7" borderId="4" xfId="1" applyFont="1" applyFill="1" applyBorder="1"/>
    <xf numFmtId="0" fontId="31" fillId="7" borderId="4" xfId="1" applyFont="1" applyFill="1" applyBorder="1" applyAlignment="1">
      <alignment horizontal="centerContinuous"/>
    </xf>
    <xf numFmtId="0" fontId="21" fillId="7" borderId="4" xfId="1" applyFont="1" applyFill="1" applyBorder="1" applyAlignment="1">
      <alignment horizontal="centerContinuous"/>
    </xf>
    <xf numFmtId="0" fontId="21" fillId="7" borderId="13" xfId="1" applyFont="1" applyFill="1" applyBorder="1" applyAlignment="1">
      <alignment horizontal="centerContinuous"/>
    </xf>
    <xf numFmtId="0" fontId="18" fillId="7" borderId="14" xfId="1" applyFont="1" applyFill="1" applyBorder="1"/>
    <xf numFmtId="0" fontId="26" fillId="0" borderId="0" xfId="2" applyFont="1" applyAlignment="1">
      <alignment horizontal="center"/>
    </xf>
    <xf numFmtId="1" fontId="18" fillId="2" borderId="9" xfId="2" applyNumberFormat="1" applyFont="1" applyFill="1" applyBorder="1" applyAlignment="1">
      <alignment horizontal="center"/>
    </xf>
    <xf numFmtId="176" fontId="18" fillId="3" borderId="4" xfId="1" applyNumberFormat="1" applyFont="1" applyFill="1" applyBorder="1" applyAlignment="1">
      <alignment horizontal="center"/>
    </xf>
    <xf numFmtId="176" fontId="24" fillId="3" borderId="4" xfId="1" applyNumberFormat="1" applyFont="1" applyFill="1" applyBorder="1" applyAlignment="1">
      <alignment horizontal="center"/>
    </xf>
    <xf numFmtId="176" fontId="18" fillId="3" borderId="13" xfId="1" applyNumberFormat="1" applyFont="1" applyFill="1" applyBorder="1" applyAlignment="1">
      <alignment horizontal="center"/>
    </xf>
    <xf numFmtId="44" fontId="42" fillId="3" borderId="12" xfId="1" applyNumberFormat="1" applyFont="1" applyFill="1" applyBorder="1"/>
    <xf numFmtId="176" fontId="24" fillId="3" borderId="14" xfId="1" applyNumberFormat="1" applyFont="1" applyFill="1" applyBorder="1" applyAlignment="1">
      <alignment horizontal="center"/>
    </xf>
    <xf numFmtId="176" fontId="18" fillId="3" borderId="14" xfId="1" applyNumberFormat="1" applyFont="1" applyFill="1" applyBorder="1" applyAlignment="1">
      <alignment horizontal="center"/>
    </xf>
    <xf numFmtId="176" fontId="18" fillId="3" borderId="15" xfId="1" applyNumberFormat="1" applyFont="1" applyFill="1" applyBorder="1" applyAlignment="1">
      <alignment horizontal="center"/>
    </xf>
    <xf numFmtId="176" fontId="21" fillId="3" borderId="4" xfId="1" applyNumberFormat="1" applyFont="1" applyFill="1" applyBorder="1" applyAlignment="1">
      <alignment horizontal="center"/>
    </xf>
    <xf numFmtId="176" fontId="21" fillId="3" borderId="14" xfId="1" applyNumberFormat="1" applyFont="1" applyFill="1" applyBorder="1" applyAlignment="1">
      <alignment horizontal="center"/>
    </xf>
    <xf numFmtId="177" fontId="18" fillId="0" borderId="0" xfId="0" applyNumberFormat="1" applyFont="1"/>
    <xf numFmtId="177" fontId="21" fillId="0" borderId="0" xfId="0" applyNumberFormat="1" applyFont="1"/>
    <xf numFmtId="178" fontId="18" fillId="0" borderId="0" xfId="0" applyNumberFormat="1" applyFont="1"/>
    <xf numFmtId="178" fontId="21" fillId="0" borderId="0" xfId="0" applyNumberFormat="1" applyFont="1"/>
    <xf numFmtId="179" fontId="2" fillId="0" borderId="0" xfId="2" applyNumberFormat="1" applyFont="1"/>
    <xf numFmtId="180" fontId="2" fillId="0" borderId="0" xfId="2" applyNumberFormat="1" applyFont="1"/>
    <xf numFmtId="180" fontId="2" fillId="0" borderId="2" xfId="2" applyNumberFormat="1" applyFont="1" applyBorder="1"/>
    <xf numFmtId="179" fontId="8" fillId="0" borderId="0" xfId="2" applyNumberFormat="1" applyFont="1"/>
    <xf numFmtId="179" fontId="36" fillId="0" borderId="0" xfId="2" applyNumberFormat="1" applyFont="1"/>
    <xf numFmtId="179" fontId="21" fillId="0" borderId="0" xfId="2" applyNumberFormat="1" applyFont="1"/>
    <xf numFmtId="180" fontId="18" fillId="0" borderId="0" xfId="2" applyNumberFormat="1" applyFont="1"/>
    <xf numFmtId="180" fontId="39" fillId="0" borderId="0" xfId="2" applyNumberFormat="1" applyFont="1"/>
    <xf numFmtId="180" fontId="40" fillId="0" borderId="0" xfId="2" applyNumberFormat="1" applyFont="1"/>
    <xf numFmtId="180" fontId="24" fillId="0" borderId="0" xfId="2" applyNumberFormat="1" applyFont="1"/>
    <xf numFmtId="180" fontId="40" fillId="5" borderId="0" xfId="2" applyNumberFormat="1" applyFont="1" applyFill="1"/>
    <xf numFmtId="179" fontId="8" fillId="6" borderId="0" xfId="2" applyNumberFormat="1" applyFont="1" applyFill="1"/>
    <xf numFmtId="0" fontId="8" fillId="3" borderId="2" xfId="0" applyFont="1" applyFill="1" applyBorder="1" applyAlignment="1">
      <alignment horizontal="center"/>
    </xf>
    <xf numFmtId="42" fontId="17" fillId="2" borderId="16" xfId="0" applyNumberFormat="1" applyFont="1" applyFill="1" applyBorder="1" applyAlignment="1">
      <alignment horizontal="center"/>
    </xf>
    <xf numFmtId="41" fontId="17" fillId="2" borderId="8" xfId="0" applyNumberFormat="1" applyFont="1" applyFill="1" applyBorder="1" applyAlignment="1">
      <alignment horizontal="center"/>
    </xf>
    <xf numFmtId="41" fontId="2" fillId="0" borderId="0" xfId="0" applyNumberFormat="1" applyFont="1"/>
    <xf numFmtId="181" fontId="2" fillId="0" borderId="0" xfId="0" applyNumberFormat="1" applyFont="1"/>
    <xf numFmtId="42" fontId="17" fillId="0" borderId="0" xfId="0" applyNumberFormat="1" applyFont="1"/>
    <xf numFmtId="0" fontId="28" fillId="0" borderId="0" xfId="0" applyFont="1" applyAlignment="1">
      <alignment horizontal="left" indent="1"/>
    </xf>
    <xf numFmtId="9" fontId="43" fillId="0" borderId="0" xfId="0" applyNumberFormat="1" applyFont="1"/>
    <xf numFmtId="174" fontId="2" fillId="0" borderId="0" xfId="0" applyNumberFormat="1" applyFont="1"/>
    <xf numFmtId="0" fontId="44" fillId="3" borderId="2" xfId="0" applyFont="1" applyFill="1" applyBorder="1" applyAlignment="1">
      <alignment horizontal="center"/>
    </xf>
    <xf numFmtId="0" fontId="28" fillId="0" borderId="0" xfId="0" applyFont="1" applyAlignment="1">
      <alignment horizontal="center"/>
    </xf>
    <xf numFmtId="174" fontId="17" fillId="2" borderId="8" xfId="0" applyNumberFormat="1" applyFont="1" applyFill="1" applyBorder="1" applyAlignment="1">
      <alignment horizontal="center"/>
    </xf>
    <xf numFmtId="174" fontId="28" fillId="0" borderId="0" xfId="0" applyNumberFormat="1" applyFont="1"/>
    <xf numFmtId="174" fontId="43" fillId="0" borderId="0" xfId="0" applyNumberFormat="1" applyFont="1"/>
    <xf numFmtId="41" fontId="18" fillId="0" borderId="2" xfId="0" applyNumberFormat="1" applyFont="1" applyBorder="1"/>
    <xf numFmtId="41" fontId="17" fillId="2" borderId="11" xfId="0" applyNumberFormat="1" applyFont="1" applyFill="1" applyBorder="1" applyAlignment="1">
      <alignment horizontal="center"/>
    </xf>
    <xf numFmtId="0" fontId="28" fillId="0" borderId="1" xfId="2" applyFont="1" applyBorder="1" applyAlignment="1">
      <alignment horizontal="center"/>
    </xf>
    <xf numFmtId="41" fontId="40" fillId="0" borderId="1" xfId="0" applyNumberFormat="1" applyFont="1" applyBorder="1" applyAlignment="1">
      <alignment horizontal="center"/>
    </xf>
    <xf numFmtId="0" fontId="31" fillId="7" borderId="14" xfId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</cellXfs>
  <cellStyles count="4">
    <cellStyle name="Normal" xfId="0" builtinId="0"/>
    <cellStyle name="Normal 2" xfId="1" xr:uid="{00000000-0005-0000-0000-000001000000}"/>
    <cellStyle name="Normal 3" xfId="2" xr:uid="{003F1EFE-FAF9-471E-948B-5E281ADD545B}"/>
    <cellStyle name="Note 2" xfId="3" xr:uid="{C87D2F8E-278A-4860-AB3E-5C61AEE95478}"/>
  </cellStyles>
  <dxfs count="85"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DA9694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0016E4"/>
      <color rgb="FFDA96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B2:Q125"/>
  <sheetViews>
    <sheetView showGridLines="0" tabSelected="1" zoomScaleNormal="100" workbookViewId="0">
      <selection activeCell="B2" sqref="B2"/>
    </sheetView>
  </sheetViews>
  <sheetFormatPr defaultColWidth="9.15234375" defaultRowHeight="15.9" outlineLevelRow="1" x14ac:dyDescent="0.45"/>
  <cols>
    <col min="1" max="2" width="2.69140625" style="2" customWidth="1"/>
    <col min="3" max="3" width="36" style="2" customWidth="1"/>
    <col min="4" max="5" width="12.69140625" style="2" customWidth="1"/>
    <col min="6" max="7" width="2.69140625" style="2" customWidth="1"/>
    <col min="8" max="8" width="44.84375" style="2" customWidth="1"/>
    <col min="9" max="11" width="12.69140625" style="2" customWidth="1"/>
    <col min="12" max="13" width="2.69140625" style="2" customWidth="1"/>
    <col min="14" max="14" width="43" style="2" customWidth="1"/>
    <col min="15" max="16" width="12.69140625" style="2" customWidth="1"/>
    <col min="17" max="17" width="2.69140625" style="2" customWidth="1"/>
    <col min="18" max="18" width="9.15234375" style="2"/>
    <col min="19" max="19" width="9.53515625" style="2" bestFit="1" customWidth="1"/>
    <col min="20" max="16384" width="9.15234375" style="2"/>
  </cols>
  <sheetData>
    <row r="2" spans="2:17" ht="18.45" x14ac:dyDescent="0.5">
      <c r="B2" s="61" t="s">
        <v>118</v>
      </c>
    </row>
    <row r="3" spans="2:17" x14ac:dyDescent="0.45">
      <c r="B3" s="2" t="s">
        <v>63</v>
      </c>
    </row>
    <row r="5" spans="2:17" x14ac:dyDescent="0.45">
      <c r="B5" s="3" t="s">
        <v>47</v>
      </c>
      <c r="C5" s="4"/>
      <c r="D5" s="5"/>
      <c r="E5" s="5"/>
      <c r="F5" s="5"/>
      <c r="G5" s="5"/>
      <c r="H5" s="6"/>
      <c r="I5" s="4"/>
      <c r="J5" s="4"/>
      <c r="K5" s="5"/>
      <c r="L5" s="7"/>
      <c r="M5" s="8"/>
      <c r="N5" s="8"/>
      <c r="O5" s="8"/>
      <c r="P5" s="8"/>
      <c r="Q5" s="8"/>
    </row>
    <row r="6" spans="2:17" outlineLevel="1" x14ac:dyDescent="0.45">
      <c r="B6" s="9" t="s">
        <v>76</v>
      </c>
      <c r="C6" s="10"/>
      <c r="D6" s="10"/>
      <c r="E6" s="10"/>
      <c r="G6" s="9" t="s">
        <v>56</v>
      </c>
      <c r="H6" s="10"/>
      <c r="I6" s="10"/>
      <c r="J6" s="10"/>
      <c r="K6" s="10"/>
    </row>
    <row r="7" spans="2:17" outlineLevel="1" x14ac:dyDescent="0.45">
      <c r="C7" s="11" t="s">
        <v>24</v>
      </c>
      <c r="D7" s="12"/>
      <c r="E7" s="13">
        <v>0.25</v>
      </c>
      <c r="H7" s="11" t="s">
        <v>28</v>
      </c>
      <c r="K7" s="14">
        <f>K52-J52</f>
        <v>-97.5</v>
      </c>
      <c r="L7" s="15"/>
    </row>
    <row r="8" spans="2:17" outlineLevel="1" x14ac:dyDescent="0.45">
      <c r="C8" s="16"/>
      <c r="D8" s="12"/>
      <c r="E8" s="15"/>
      <c r="H8" s="65" t="s">
        <v>86</v>
      </c>
      <c r="K8" s="40">
        <f>K80-J80</f>
        <v>-7.5</v>
      </c>
      <c r="L8" s="15"/>
    </row>
    <row r="9" spans="2:17" outlineLevel="1" x14ac:dyDescent="0.45">
      <c r="C9" s="11" t="s">
        <v>61</v>
      </c>
      <c r="E9" s="17">
        <v>1</v>
      </c>
      <c r="H9" s="78" t="s">
        <v>125</v>
      </c>
      <c r="K9" s="40">
        <f>P51-O51</f>
        <v>-7.5</v>
      </c>
      <c r="L9" s="15"/>
    </row>
    <row r="10" spans="2:17" outlineLevel="1" x14ac:dyDescent="0.45">
      <c r="C10" s="11" t="s">
        <v>62</v>
      </c>
      <c r="E10" s="18">
        <v>1000</v>
      </c>
      <c r="F10" s="15"/>
      <c r="H10" s="11" t="s">
        <v>48</v>
      </c>
      <c r="K10" s="40">
        <f>K64-J64</f>
        <v>-7.5</v>
      </c>
      <c r="L10" s="19"/>
    </row>
    <row r="11" spans="2:17" outlineLevel="1" x14ac:dyDescent="0.45">
      <c r="C11" s="11" t="s">
        <v>26</v>
      </c>
      <c r="E11" s="20">
        <v>100</v>
      </c>
      <c r="F11" s="15"/>
      <c r="H11" s="11" t="s">
        <v>49</v>
      </c>
      <c r="K11" s="40">
        <f>K82-J82</f>
        <v>-7.5</v>
      </c>
      <c r="L11" s="19"/>
    </row>
    <row r="12" spans="2:17" outlineLevel="1" x14ac:dyDescent="0.45">
      <c r="E12" s="21"/>
      <c r="F12" s="15"/>
      <c r="H12" s="11" t="s">
        <v>50</v>
      </c>
      <c r="K12" s="66">
        <f>K84</f>
        <v>0</v>
      </c>
      <c r="L12" s="19"/>
    </row>
    <row r="13" spans="2:17" x14ac:dyDescent="0.45">
      <c r="F13" s="15"/>
    </row>
    <row r="14" spans="2:17" x14ac:dyDescent="0.45">
      <c r="B14" s="3" t="s">
        <v>52</v>
      </c>
      <c r="C14" s="4"/>
      <c r="D14" s="5"/>
      <c r="E14" s="5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3"/>
    </row>
    <row r="15" spans="2:17" outlineLevel="1" x14ac:dyDescent="0.45">
      <c r="B15" s="9" t="s">
        <v>39</v>
      </c>
      <c r="C15" s="10"/>
      <c r="D15" s="10"/>
      <c r="E15" s="10"/>
      <c r="F15" s="15"/>
      <c r="G15" s="9" t="s">
        <v>59</v>
      </c>
      <c r="H15" s="10"/>
      <c r="I15" s="10"/>
      <c r="J15" s="10"/>
      <c r="K15" s="10"/>
      <c r="M15" s="9" t="s">
        <v>44</v>
      </c>
      <c r="N15" s="10"/>
      <c r="O15" s="10"/>
      <c r="P15" s="10"/>
    </row>
    <row r="16" spans="2:17" outlineLevel="1" x14ac:dyDescent="0.45">
      <c r="F16" s="15"/>
      <c r="H16" s="1"/>
    </row>
    <row r="17" spans="3:16" outlineLevel="1" x14ac:dyDescent="0.45">
      <c r="C17" s="78" t="s">
        <v>37</v>
      </c>
      <c r="E17" s="20"/>
      <c r="F17" s="15"/>
      <c r="G17" s="1" t="s">
        <v>96</v>
      </c>
      <c r="N17" s="11" t="s">
        <v>45</v>
      </c>
      <c r="P17" s="79">
        <v>100</v>
      </c>
    </row>
    <row r="18" spans="3:16" outlineLevel="1" x14ac:dyDescent="0.45">
      <c r="C18" s="11" t="s">
        <v>38</v>
      </c>
      <c r="E18" s="79"/>
      <c r="H18" s="11" t="s">
        <v>29</v>
      </c>
      <c r="K18" s="20"/>
      <c r="N18" s="11" t="s">
        <v>68</v>
      </c>
      <c r="P18" s="79"/>
    </row>
    <row r="19" spans="3:16" outlineLevel="1" x14ac:dyDescent="0.45">
      <c r="H19" s="11" t="s">
        <v>30</v>
      </c>
      <c r="K19" s="79"/>
    </row>
    <row r="20" spans="3:16" outlineLevel="1" x14ac:dyDescent="0.45">
      <c r="C20" s="11" t="s">
        <v>40</v>
      </c>
      <c r="E20" s="79">
        <v>10</v>
      </c>
      <c r="K20" s="19"/>
      <c r="N20" s="78" t="s">
        <v>105</v>
      </c>
      <c r="P20" s="79"/>
    </row>
    <row r="21" spans="3:16" outlineLevel="1" x14ac:dyDescent="0.45">
      <c r="C21" s="11" t="s">
        <v>41</v>
      </c>
      <c r="E21" s="79"/>
      <c r="G21" s="1" t="s">
        <v>101</v>
      </c>
      <c r="K21" s="19"/>
      <c r="N21" s="78" t="s">
        <v>106</v>
      </c>
      <c r="P21" s="79"/>
    </row>
    <row r="22" spans="3:16" outlineLevel="1" x14ac:dyDescent="0.45">
      <c r="C22" s="11"/>
      <c r="E22" s="81"/>
      <c r="H22" s="11" t="s">
        <v>29</v>
      </c>
      <c r="K22" s="79"/>
    </row>
    <row r="23" spans="3:16" outlineLevel="1" x14ac:dyDescent="0.45">
      <c r="C23" s="80" t="s">
        <v>111</v>
      </c>
      <c r="E23" s="79"/>
      <c r="H23" s="11" t="s">
        <v>30</v>
      </c>
      <c r="K23" s="79"/>
      <c r="N23" s="78" t="s">
        <v>107</v>
      </c>
      <c r="P23" s="79"/>
    </row>
    <row r="24" spans="3:16" outlineLevel="1" x14ac:dyDescent="0.45">
      <c r="C24" s="80" t="s">
        <v>112</v>
      </c>
      <c r="E24" s="79"/>
      <c r="H24" s="16"/>
      <c r="K24" s="19"/>
      <c r="N24" s="78" t="s">
        <v>131</v>
      </c>
      <c r="P24" s="87">
        <f>E23-E25</f>
        <v>0</v>
      </c>
    </row>
    <row r="25" spans="3:16" outlineLevel="1" x14ac:dyDescent="0.45">
      <c r="C25" s="80" t="s">
        <v>113</v>
      </c>
      <c r="E25" s="79"/>
      <c r="G25" s="24" t="s">
        <v>97</v>
      </c>
      <c r="K25" s="19"/>
    </row>
    <row r="26" spans="3:16" outlineLevel="1" x14ac:dyDescent="0.45">
      <c r="H26" s="11" t="s">
        <v>29</v>
      </c>
      <c r="K26" s="79"/>
      <c r="N26" s="11" t="s">
        <v>64</v>
      </c>
      <c r="P26" s="79"/>
    </row>
    <row r="27" spans="3:16" outlineLevel="1" x14ac:dyDescent="0.45">
      <c r="C27" s="11" t="s">
        <v>42</v>
      </c>
      <c r="E27" s="79"/>
      <c r="H27" s="11" t="s">
        <v>36</v>
      </c>
      <c r="K27" s="79"/>
    </row>
    <row r="28" spans="3:16" outlineLevel="1" x14ac:dyDescent="0.45">
      <c r="C28" s="11" t="s">
        <v>43</v>
      </c>
      <c r="E28" s="79"/>
      <c r="H28" s="16"/>
      <c r="K28" s="19"/>
      <c r="N28" s="78" t="s">
        <v>99</v>
      </c>
      <c r="P28" s="79"/>
    </row>
    <row r="29" spans="3:16" outlineLevel="1" x14ac:dyDescent="0.45">
      <c r="G29" s="24" t="s">
        <v>102</v>
      </c>
      <c r="K29" s="19"/>
      <c r="N29" s="78" t="s">
        <v>100</v>
      </c>
      <c r="P29" s="79"/>
    </row>
    <row r="30" spans="3:16" outlineLevel="1" x14ac:dyDescent="0.45">
      <c r="C30" s="11" t="s">
        <v>51</v>
      </c>
      <c r="E30" s="79"/>
      <c r="H30" s="11" t="s">
        <v>29</v>
      </c>
      <c r="K30" s="79"/>
    </row>
    <row r="31" spans="3:16" outlineLevel="1" x14ac:dyDescent="0.45">
      <c r="H31" s="11" t="s">
        <v>30</v>
      </c>
      <c r="K31" s="79"/>
    </row>
    <row r="32" spans="3:16" outlineLevel="1" x14ac:dyDescent="0.45">
      <c r="H32" s="16"/>
      <c r="K32" s="19"/>
    </row>
    <row r="33" spans="2:17" outlineLevel="1" x14ac:dyDescent="0.45">
      <c r="G33" s="24" t="s">
        <v>103</v>
      </c>
      <c r="K33" s="19"/>
    </row>
    <row r="34" spans="2:17" outlineLevel="1" x14ac:dyDescent="0.45">
      <c r="H34" s="11" t="s">
        <v>29</v>
      </c>
      <c r="K34" s="79"/>
    </row>
    <row r="35" spans="2:17" outlineLevel="1" x14ac:dyDescent="0.45">
      <c r="C35" s="11"/>
      <c r="E35" s="82"/>
      <c r="H35" s="11" t="s">
        <v>30</v>
      </c>
      <c r="K35" s="79"/>
    </row>
    <row r="36" spans="2:17" outlineLevel="1" x14ac:dyDescent="0.45">
      <c r="C36" s="11"/>
      <c r="E36" s="81"/>
      <c r="H36" s="16"/>
      <c r="K36" s="19"/>
    </row>
    <row r="37" spans="2:17" outlineLevel="1" x14ac:dyDescent="0.45">
      <c r="C37" s="11"/>
      <c r="E37" s="81"/>
      <c r="G37" s="1" t="s">
        <v>134</v>
      </c>
      <c r="H37" s="16"/>
      <c r="K37" s="19"/>
    </row>
    <row r="38" spans="2:17" outlineLevel="1" x14ac:dyDescent="0.45">
      <c r="C38" s="11"/>
      <c r="E38" s="81"/>
      <c r="H38" s="11" t="s">
        <v>29</v>
      </c>
      <c r="K38" s="79"/>
    </row>
    <row r="39" spans="2:17" outlineLevel="1" x14ac:dyDescent="0.45">
      <c r="C39" s="11"/>
      <c r="E39" s="81"/>
      <c r="H39" s="11" t="s">
        <v>30</v>
      </c>
      <c r="K39" s="79"/>
    </row>
    <row r="40" spans="2:17" outlineLevel="1" x14ac:dyDescent="0.45">
      <c r="C40" s="11"/>
      <c r="E40" s="81"/>
      <c r="H40" s="16"/>
      <c r="K40" s="19"/>
    </row>
    <row r="41" spans="2:17" outlineLevel="1" x14ac:dyDescent="0.45">
      <c r="C41" s="11"/>
      <c r="E41" s="81"/>
      <c r="G41" s="24" t="s">
        <v>98</v>
      </c>
      <c r="K41" s="19"/>
    </row>
    <row r="42" spans="2:17" outlineLevel="1" x14ac:dyDescent="0.45">
      <c r="H42" s="11" t="s">
        <v>29</v>
      </c>
      <c r="K42" s="79"/>
    </row>
    <row r="43" spans="2:17" outlineLevel="1" x14ac:dyDescent="0.45">
      <c r="C43" s="11"/>
      <c r="E43" s="81"/>
      <c r="H43" s="11" t="s">
        <v>30</v>
      </c>
      <c r="K43" s="79"/>
    </row>
    <row r="44" spans="2:17" x14ac:dyDescent="0.45">
      <c r="C44" s="1"/>
    </row>
    <row r="45" spans="2:17" x14ac:dyDescent="0.45">
      <c r="B45" s="3" t="s">
        <v>17</v>
      </c>
      <c r="C45" s="4"/>
      <c r="D45" s="5"/>
      <c r="E45" s="5"/>
      <c r="F45" s="7"/>
      <c r="G45" s="3" t="s">
        <v>18</v>
      </c>
      <c r="H45" s="4"/>
      <c r="I45" s="4"/>
      <c r="J45" s="5"/>
      <c r="K45" s="5"/>
      <c r="L45" s="7"/>
      <c r="M45" s="3" t="s">
        <v>22</v>
      </c>
      <c r="N45" s="4"/>
      <c r="O45" s="5"/>
      <c r="P45" s="5"/>
      <c r="Q45" s="23"/>
    </row>
    <row r="46" spans="2:17" outlineLevel="1" x14ac:dyDescent="0.45">
      <c r="D46" s="27" t="s">
        <v>55</v>
      </c>
      <c r="E46" s="27"/>
      <c r="F46" s="28"/>
      <c r="I46" s="71" t="s">
        <v>89</v>
      </c>
      <c r="J46" s="27" t="s">
        <v>57</v>
      </c>
      <c r="K46" s="27"/>
      <c r="L46" s="28"/>
      <c r="O46" s="27" t="s">
        <v>55</v>
      </c>
      <c r="P46" s="27"/>
    </row>
    <row r="47" spans="2:17" outlineLevel="1" x14ac:dyDescent="0.45">
      <c r="D47" s="29" t="s">
        <v>65</v>
      </c>
      <c r="E47" s="29"/>
      <c r="F47" s="28"/>
      <c r="I47" s="74" t="s">
        <v>90</v>
      </c>
      <c r="J47" s="29" t="s">
        <v>65</v>
      </c>
      <c r="K47" s="29"/>
      <c r="L47" s="28"/>
      <c r="O47" s="29" t="s">
        <v>65</v>
      </c>
      <c r="P47" s="29"/>
    </row>
    <row r="48" spans="2:17" outlineLevel="1" x14ac:dyDescent="0.45">
      <c r="D48" s="30" t="s">
        <v>53</v>
      </c>
      <c r="E48" s="30" t="s">
        <v>54</v>
      </c>
      <c r="F48" s="28"/>
      <c r="I48" s="75" t="s">
        <v>55</v>
      </c>
      <c r="J48" s="30" t="s">
        <v>53</v>
      </c>
      <c r="K48" s="30" t="s">
        <v>54</v>
      </c>
      <c r="L48" s="28"/>
      <c r="O48" s="30" t="s">
        <v>53</v>
      </c>
      <c r="P48" s="30" t="s">
        <v>54</v>
      </c>
    </row>
    <row r="49" spans="2:16" outlineLevel="1" x14ac:dyDescent="0.45">
      <c r="D49" s="31" t="s">
        <v>66</v>
      </c>
      <c r="E49" s="31" t="s">
        <v>66</v>
      </c>
      <c r="F49" s="32"/>
      <c r="H49" s="33"/>
      <c r="I49" s="76" t="s">
        <v>65</v>
      </c>
      <c r="J49" s="30" t="s">
        <v>66</v>
      </c>
      <c r="K49" s="30" t="s">
        <v>66</v>
      </c>
      <c r="L49" s="32"/>
      <c r="N49" s="34"/>
      <c r="O49" s="31" t="s">
        <v>66</v>
      </c>
      <c r="P49" s="31" t="s">
        <v>66</v>
      </c>
    </row>
    <row r="50" spans="2:16" outlineLevel="1" x14ac:dyDescent="0.45">
      <c r="C50" s="1" t="s">
        <v>25</v>
      </c>
      <c r="D50" s="35">
        <v>1300</v>
      </c>
      <c r="E50" s="36">
        <f>D50+E17+K18+K43</f>
        <v>1300</v>
      </c>
      <c r="F50" s="37"/>
      <c r="G50" s="67" t="s">
        <v>81</v>
      </c>
      <c r="H50" s="68"/>
      <c r="I50" s="68"/>
      <c r="J50" s="68"/>
      <c r="K50" s="68"/>
      <c r="L50" s="38"/>
      <c r="M50" s="68" t="s">
        <v>93</v>
      </c>
      <c r="N50" s="68"/>
      <c r="O50" s="9"/>
      <c r="P50" s="9"/>
    </row>
    <row r="51" spans="2:16" outlineLevel="1" x14ac:dyDescent="0.45">
      <c r="C51" s="86" t="s">
        <v>133</v>
      </c>
      <c r="D51" s="39">
        <v>-100</v>
      </c>
      <c r="E51" s="40">
        <f>D51-K27-K38+K39</f>
        <v>-100</v>
      </c>
      <c r="F51" s="37"/>
      <c r="H51" s="1" t="s">
        <v>3</v>
      </c>
      <c r="I51" s="38"/>
      <c r="L51" s="38"/>
      <c r="N51" s="1" t="s">
        <v>10</v>
      </c>
      <c r="O51" s="41">
        <f>D68</f>
        <v>300</v>
      </c>
      <c r="P51" s="41">
        <f>E68</f>
        <v>292.5</v>
      </c>
    </row>
    <row r="52" spans="2:16" outlineLevel="1" x14ac:dyDescent="0.45">
      <c r="C52" s="42" t="s">
        <v>0</v>
      </c>
      <c r="D52" s="43">
        <f>SUM(D50:D51)</f>
        <v>1200</v>
      </c>
      <c r="E52" s="44">
        <f>SUM(E50:E51)</f>
        <v>1200</v>
      </c>
      <c r="F52" s="37"/>
      <c r="H52" s="73" t="s">
        <v>88</v>
      </c>
      <c r="I52" s="14">
        <f>Initial_Cash</f>
        <v>100</v>
      </c>
      <c r="J52" s="14">
        <f>O86</f>
        <v>400</v>
      </c>
      <c r="K52" s="14">
        <f>P86</f>
        <v>302.5</v>
      </c>
      <c r="L52" s="38"/>
      <c r="N52" s="1" t="s">
        <v>33</v>
      </c>
      <c r="O52" s="46"/>
      <c r="P52" s="46"/>
    </row>
    <row r="53" spans="2:16" outlineLevel="1" x14ac:dyDescent="0.45">
      <c r="D53" s="25"/>
      <c r="E53" s="25"/>
      <c r="F53" s="47"/>
      <c r="H53" s="16" t="s">
        <v>19</v>
      </c>
      <c r="I53" s="39">
        <v>100</v>
      </c>
      <c r="J53" s="40">
        <f t="shared" ref="J53:K55" si="0">$I53-O59</f>
        <v>100</v>
      </c>
      <c r="K53" s="40">
        <f t="shared" si="0"/>
        <v>100</v>
      </c>
      <c r="L53" s="45"/>
      <c r="N53" s="16" t="s">
        <v>71</v>
      </c>
      <c r="O53" s="40">
        <f>-D55</f>
        <v>0</v>
      </c>
      <c r="P53" s="40">
        <f t="shared" ref="P53:P55" si="1">-E55</f>
        <v>10</v>
      </c>
    </row>
    <row r="54" spans="2:16" outlineLevel="1" x14ac:dyDescent="0.45">
      <c r="C54" s="73" t="s">
        <v>126</v>
      </c>
      <c r="D54" s="39">
        <v>-800</v>
      </c>
      <c r="E54" s="40">
        <f>D54-E18-K23-K30-K34</f>
        <v>-800</v>
      </c>
      <c r="F54" s="47"/>
      <c r="H54" s="16" t="s">
        <v>27</v>
      </c>
      <c r="I54" s="39">
        <v>100</v>
      </c>
      <c r="J54" s="40">
        <f t="shared" si="0"/>
        <v>100</v>
      </c>
      <c r="K54" s="40">
        <f t="shared" si="0"/>
        <v>100</v>
      </c>
      <c r="L54" s="45"/>
      <c r="N54" s="73" t="s">
        <v>114</v>
      </c>
      <c r="O54" s="40">
        <f>-D56</f>
        <v>0</v>
      </c>
      <c r="P54" s="40">
        <f t="shared" si="1"/>
        <v>0</v>
      </c>
    </row>
    <row r="55" spans="2:16" outlineLevel="1" x14ac:dyDescent="0.45">
      <c r="B55" s="48"/>
      <c r="C55" s="73" t="s">
        <v>127</v>
      </c>
      <c r="D55" s="39">
        <v>0</v>
      </c>
      <c r="E55" s="40">
        <f>D55-E20</f>
        <v>-10</v>
      </c>
      <c r="F55" s="37"/>
      <c r="H55" s="16" t="s">
        <v>15</v>
      </c>
      <c r="I55" s="39">
        <v>100</v>
      </c>
      <c r="J55" s="40">
        <f t="shared" si="0"/>
        <v>100</v>
      </c>
      <c r="K55" s="40">
        <f t="shared" si="0"/>
        <v>100</v>
      </c>
      <c r="L55" s="37"/>
      <c r="N55" s="16" t="s">
        <v>72</v>
      </c>
      <c r="O55" s="40">
        <f>-D57</f>
        <v>0</v>
      </c>
      <c r="P55" s="40">
        <f t="shared" si="1"/>
        <v>0</v>
      </c>
    </row>
    <row r="56" spans="2:16" outlineLevel="1" x14ac:dyDescent="0.45">
      <c r="C56" s="73" t="s">
        <v>130</v>
      </c>
      <c r="D56" s="39">
        <v>0</v>
      </c>
      <c r="E56" s="40">
        <f>D56-E24</f>
        <v>0</v>
      </c>
      <c r="F56" s="37"/>
      <c r="H56" s="26" t="s">
        <v>4</v>
      </c>
      <c r="I56" s="44">
        <f>SUM(I52:I55)</f>
        <v>400</v>
      </c>
      <c r="J56" s="44">
        <f>SUM(J52:J55)</f>
        <v>700</v>
      </c>
      <c r="K56" s="44">
        <f>SUM(K52:K55)</f>
        <v>602.5</v>
      </c>
      <c r="L56" s="37"/>
      <c r="N56" s="64" t="s">
        <v>84</v>
      </c>
      <c r="O56" s="40">
        <f>D57*Tax_Rate</f>
        <v>0</v>
      </c>
      <c r="P56" s="40">
        <f>E57*Tax_Rate</f>
        <v>0</v>
      </c>
    </row>
    <row r="57" spans="2:16" outlineLevel="1" x14ac:dyDescent="0.45">
      <c r="C57" s="73" t="s">
        <v>128</v>
      </c>
      <c r="D57" s="39">
        <v>0</v>
      </c>
      <c r="E57" s="40">
        <f>D57-E21</f>
        <v>0</v>
      </c>
      <c r="F57" s="37"/>
      <c r="K57" s="25"/>
      <c r="L57" s="37"/>
      <c r="N57" s="16" t="s">
        <v>78</v>
      </c>
      <c r="O57" s="40">
        <f>-D63</f>
        <v>0</v>
      </c>
      <c r="P57" s="40">
        <f>-E63</f>
        <v>0</v>
      </c>
    </row>
    <row r="58" spans="2:16" outlineLevel="1" x14ac:dyDescent="0.45">
      <c r="C58" s="26" t="s">
        <v>129</v>
      </c>
      <c r="D58" s="43">
        <f>SUM(D54:D57)</f>
        <v>-800</v>
      </c>
      <c r="E58" s="43">
        <f t="shared" ref="E58" si="2">SUM(E54:E57)</f>
        <v>-810</v>
      </c>
      <c r="F58" s="37"/>
      <c r="H58" s="1" t="s">
        <v>20</v>
      </c>
      <c r="I58" s="51"/>
      <c r="K58" s="25"/>
      <c r="L58" s="37"/>
      <c r="N58" s="24" t="s">
        <v>23</v>
      </c>
      <c r="O58" s="47"/>
      <c r="P58" s="47"/>
    </row>
    <row r="59" spans="2:16" outlineLevel="1" x14ac:dyDescent="0.45">
      <c r="F59" s="37"/>
      <c r="H59" s="73" t="s">
        <v>108</v>
      </c>
      <c r="I59" s="39">
        <v>1200</v>
      </c>
      <c r="J59" s="40">
        <f>$I59-O53-O57-O68-O70</f>
        <v>1200</v>
      </c>
      <c r="K59" s="40">
        <f>$I59-P53-P57-P68-P70</f>
        <v>1290</v>
      </c>
      <c r="L59" s="37"/>
      <c r="N59" s="73" t="s">
        <v>119</v>
      </c>
      <c r="O59" s="39">
        <v>0</v>
      </c>
      <c r="P59" s="25">
        <f>O59-K18+K19</f>
        <v>0</v>
      </c>
    </row>
    <row r="60" spans="2:16" outlineLevel="1" x14ac:dyDescent="0.45">
      <c r="C60" s="24" t="s">
        <v>1</v>
      </c>
      <c r="D60" s="49">
        <f>D52+D58</f>
        <v>400</v>
      </c>
      <c r="E60" s="49">
        <f t="shared" ref="E60" si="3">E52+E58</f>
        <v>390</v>
      </c>
      <c r="F60" s="37"/>
      <c r="H60" s="73" t="s">
        <v>115</v>
      </c>
      <c r="I60" s="39">
        <v>200</v>
      </c>
      <c r="J60" s="25">
        <f>$I60-O54-O69</f>
        <v>200</v>
      </c>
      <c r="K60" s="25">
        <f>$I60-P54-P69</f>
        <v>200</v>
      </c>
      <c r="L60" s="37"/>
      <c r="N60" s="73" t="s">
        <v>120</v>
      </c>
      <c r="O60" s="39">
        <v>0</v>
      </c>
      <c r="P60" s="25">
        <f>O60-K22+K23</f>
        <v>0</v>
      </c>
    </row>
    <row r="61" spans="2:16" outlineLevel="1" x14ac:dyDescent="0.45">
      <c r="B61" s="16"/>
      <c r="C61" s="16" t="s">
        <v>69</v>
      </c>
      <c r="D61" s="39">
        <v>0</v>
      </c>
      <c r="E61" s="40">
        <f>D61+E27</f>
        <v>0</v>
      </c>
      <c r="H61" s="73" t="s">
        <v>85</v>
      </c>
      <c r="I61" s="39">
        <v>100</v>
      </c>
      <c r="J61" s="25">
        <f>$I61-O56</f>
        <v>100</v>
      </c>
      <c r="K61" s="25">
        <f>$I61-P56</f>
        <v>100</v>
      </c>
      <c r="N61" s="73" t="s">
        <v>121</v>
      </c>
      <c r="O61" s="39">
        <v>0</v>
      </c>
      <c r="P61" s="25">
        <f>O61-K26+K27</f>
        <v>0</v>
      </c>
    </row>
    <row r="62" spans="2:16" outlineLevel="1" x14ac:dyDescent="0.45">
      <c r="C62" s="16" t="s">
        <v>70</v>
      </c>
      <c r="D62" s="39">
        <v>0</v>
      </c>
      <c r="E62" s="40">
        <f>D62-E25-E28</f>
        <v>0</v>
      </c>
      <c r="F62" s="47"/>
      <c r="H62" s="26" t="s">
        <v>32</v>
      </c>
      <c r="I62" s="44">
        <f>SUM(I59:I61)</f>
        <v>1500</v>
      </c>
      <c r="J62" s="44">
        <f>SUM(J59:J61)</f>
        <v>1500</v>
      </c>
      <c r="K62" s="44">
        <f>SUM(K59:K61)</f>
        <v>1590</v>
      </c>
      <c r="L62" s="45"/>
      <c r="N62" s="73" t="s">
        <v>122</v>
      </c>
      <c r="O62" s="39">
        <v>0</v>
      </c>
      <c r="P62" s="25">
        <f>O62+K34-K35</f>
        <v>0</v>
      </c>
    </row>
    <row r="63" spans="2:16" outlineLevel="1" x14ac:dyDescent="0.45">
      <c r="C63" s="16" t="s">
        <v>77</v>
      </c>
      <c r="D63" s="39">
        <v>0</v>
      </c>
      <c r="E63" s="40">
        <f>D63+E30</f>
        <v>0</v>
      </c>
      <c r="F63" s="47"/>
      <c r="J63" s="70"/>
      <c r="K63" s="25"/>
      <c r="L63" s="45"/>
      <c r="N63" s="69" t="s">
        <v>123</v>
      </c>
      <c r="O63" s="39">
        <v>0</v>
      </c>
      <c r="P63" s="25">
        <f>O63+K30-K31</f>
        <v>0</v>
      </c>
    </row>
    <row r="64" spans="2:16" outlineLevel="1" x14ac:dyDescent="0.45">
      <c r="C64" s="42" t="s">
        <v>2</v>
      </c>
      <c r="D64" s="43">
        <f>SUM(D60:D63)</f>
        <v>400</v>
      </c>
      <c r="E64" s="43">
        <f>SUM(E60:E63)</f>
        <v>390</v>
      </c>
      <c r="F64" s="47"/>
      <c r="H64" s="1" t="s">
        <v>5</v>
      </c>
      <c r="I64" s="41">
        <f>I62+I56</f>
        <v>1900</v>
      </c>
      <c r="J64" s="41">
        <f>J62+J56</f>
        <v>2200</v>
      </c>
      <c r="K64" s="41">
        <f>K62+K56</f>
        <v>2192.5</v>
      </c>
      <c r="L64" s="37"/>
      <c r="N64" s="69" t="s">
        <v>124</v>
      </c>
      <c r="O64" s="39">
        <v>0</v>
      </c>
      <c r="P64" s="25">
        <f>O64+K42-K43</f>
        <v>0</v>
      </c>
    </row>
    <row r="65" spans="2:16" outlineLevel="1" x14ac:dyDescent="0.45">
      <c r="F65" s="47"/>
      <c r="L65" s="51"/>
      <c r="N65" s="42" t="s">
        <v>9</v>
      </c>
      <c r="O65" s="43">
        <f>SUM(O51:O64)</f>
        <v>300</v>
      </c>
      <c r="P65" s="43">
        <f>SUM(P51:P64)</f>
        <v>302.5</v>
      </c>
    </row>
    <row r="66" spans="2:16" outlineLevel="1" x14ac:dyDescent="0.45">
      <c r="C66" s="64" t="s">
        <v>83</v>
      </c>
      <c r="D66" s="25">
        <f>-D64*Tax_Rate</f>
        <v>-100</v>
      </c>
      <c r="E66" s="25">
        <f>-E64*Tax_Rate</f>
        <v>-97.5</v>
      </c>
      <c r="F66" s="47"/>
      <c r="G66" s="67" t="s">
        <v>82</v>
      </c>
      <c r="H66" s="68"/>
      <c r="I66" s="68"/>
      <c r="J66" s="68"/>
      <c r="K66" s="68"/>
      <c r="L66" s="51"/>
    </row>
    <row r="67" spans="2:16" outlineLevel="1" x14ac:dyDescent="0.45">
      <c r="D67" s="25"/>
      <c r="E67" s="40"/>
      <c r="F67" s="47"/>
      <c r="H67" s="1" t="s">
        <v>6</v>
      </c>
      <c r="I67" s="37"/>
      <c r="J67" s="37"/>
      <c r="K67" s="37"/>
      <c r="L67" s="51"/>
      <c r="M67" s="9" t="s">
        <v>94</v>
      </c>
      <c r="N67" s="9"/>
      <c r="O67" s="9"/>
      <c r="P67" s="9"/>
    </row>
    <row r="68" spans="2:16" outlineLevel="1" x14ac:dyDescent="0.45">
      <c r="C68" s="24" t="s">
        <v>10</v>
      </c>
      <c r="D68" s="49">
        <f>D64+D66</f>
        <v>300</v>
      </c>
      <c r="E68" s="49">
        <f>E64+E66</f>
        <v>292.5</v>
      </c>
      <c r="F68" s="46"/>
      <c r="H68" s="16" t="s">
        <v>7</v>
      </c>
      <c r="I68" s="63">
        <v>300</v>
      </c>
      <c r="J68" s="14">
        <f t="shared" ref="J68:K70" si="4">$I68+O62</f>
        <v>300</v>
      </c>
      <c r="K68" s="14">
        <f t="shared" si="4"/>
        <v>300</v>
      </c>
      <c r="L68" s="37"/>
      <c r="N68" s="16" t="s">
        <v>73</v>
      </c>
      <c r="O68" s="39">
        <v>0</v>
      </c>
      <c r="P68" s="25">
        <f>O68-P17</f>
        <v>-100</v>
      </c>
    </row>
    <row r="69" spans="2:16" outlineLevel="1" x14ac:dyDescent="0.45">
      <c r="C69" s="16"/>
      <c r="D69" s="39"/>
      <c r="E69" s="40"/>
      <c r="F69" s="47"/>
      <c r="H69" s="16" t="s">
        <v>16</v>
      </c>
      <c r="I69" s="39">
        <v>200</v>
      </c>
      <c r="J69" s="40">
        <f t="shared" si="4"/>
        <v>200</v>
      </c>
      <c r="K69" s="40">
        <f t="shared" si="4"/>
        <v>200</v>
      </c>
      <c r="L69" s="37"/>
      <c r="N69" s="73" t="s">
        <v>116</v>
      </c>
      <c r="O69" s="39">
        <v>0</v>
      </c>
      <c r="P69" s="25">
        <f>-P23</f>
        <v>0</v>
      </c>
    </row>
    <row r="70" spans="2:16" outlineLevel="1" x14ac:dyDescent="0.45">
      <c r="C70" s="2" t="s">
        <v>67</v>
      </c>
      <c r="D70" s="52">
        <f>Shares_Outstanding</f>
        <v>1000</v>
      </c>
      <c r="E70" s="53">
        <f>D70+E21/Share_Price+P28/Share_Price-P29/Share_Price</f>
        <v>1000</v>
      </c>
      <c r="F70" s="47"/>
      <c r="H70" s="16" t="s">
        <v>11</v>
      </c>
      <c r="I70" s="39">
        <v>200</v>
      </c>
      <c r="J70" s="40">
        <f t="shared" si="4"/>
        <v>200</v>
      </c>
      <c r="K70" s="40">
        <f t="shared" si="4"/>
        <v>200</v>
      </c>
      <c r="N70" s="16" t="s">
        <v>74</v>
      </c>
      <c r="O70" s="39">
        <v>0</v>
      </c>
      <c r="P70" s="25">
        <f>O70+P18+E30</f>
        <v>0</v>
      </c>
    </row>
    <row r="71" spans="2:16" outlineLevel="1" x14ac:dyDescent="0.45">
      <c r="C71" s="2" t="s">
        <v>60</v>
      </c>
      <c r="D71" s="54">
        <f>D68/D70</f>
        <v>0.3</v>
      </c>
      <c r="E71" s="55">
        <f>E68/E70</f>
        <v>0.29249999999999998</v>
      </c>
      <c r="F71" s="47"/>
      <c r="H71" s="26" t="s">
        <v>8</v>
      </c>
      <c r="I71" s="44">
        <f>SUM(I68:I70)</f>
        <v>700</v>
      </c>
      <c r="J71" s="44">
        <f t="shared" ref="J71:K71" si="5">SUM(J68:J70)</f>
        <v>700</v>
      </c>
      <c r="K71" s="44">
        <f t="shared" si="5"/>
        <v>700</v>
      </c>
      <c r="L71" s="37"/>
      <c r="N71" s="42" t="s">
        <v>12</v>
      </c>
      <c r="O71" s="43">
        <f>SUM(O68:O70)</f>
        <v>0</v>
      </c>
      <c r="P71" s="43">
        <f>SUM(P68:P70)</f>
        <v>-100</v>
      </c>
    </row>
    <row r="72" spans="2:16" outlineLevel="1" x14ac:dyDescent="0.45">
      <c r="F72" s="47"/>
      <c r="G72" s="1"/>
      <c r="J72" s="50"/>
      <c r="K72" s="50"/>
      <c r="L72" s="37"/>
      <c r="M72" s="1"/>
    </row>
    <row r="73" spans="2:16" outlineLevel="1" x14ac:dyDescent="0.45">
      <c r="B73" s="83"/>
      <c r="C73" s="85"/>
      <c r="D73" s="85"/>
      <c r="E73" s="85"/>
      <c r="H73" s="1" t="s">
        <v>21</v>
      </c>
      <c r="L73" s="37"/>
      <c r="M73" s="9" t="s">
        <v>95</v>
      </c>
      <c r="N73" s="9"/>
      <c r="O73" s="9"/>
      <c r="P73" s="9"/>
    </row>
    <row r="74" spans="2:16" outlineLevel="1" x14ac:dyDescent="0.45">
      <c r="B74" s="1"/>
      <c r="C74" s="1"/>
      <c r="D74" s="34"/>
      <c r="E74" s="34"/>
      <c r="F74" s="46"/>
      <c r="H74" s="73" t="s">
        <v>87</v>
      </c>
      <c r="I74" s="39">
        <v>500</v>
      </c>
      <c r="J74" s="40">
        <f>$I74+O74+O75</f>
        <v>500</v>
      </c>
      <c r="K74" s="40">
        <f>$I74+P74+P75</f>
        <v>500</v>
      </c>
      <c r="L74" s="37"/>
      <c r="N74" s="16" t="s">
        <v>79</v>
      </c>
      <c r="O74" s="39">
        <v>0</v>
      </c>
      <c r="P74" s="40">
        <f>O74+P20</f>
        <v>0</v>
      </c>
    </row>
    <row r="75" spans="2:16" outlineLevel="1" x14ac:dyDescent="0.45">
      <c r="B75" s="1"/>
      <c r="C75" s="1"/>
      <c r="D75" s="84"/>
      <c r="E75" s="84"/>
      <c r="H75" s="73" t="s">
        <v>117</v>
      </c>
      <c r="I75" s="39">
        <v>200</v>
      </c>
      <c r="J75" s="40">
        <f>$I75+O76+O77</f>
        <v>200</v>
      </c>
      <c r="K75" s="40">
        <f>$I75+P76+P77</f>
        <v>200</v>
      </c>
      <c r="L75" s="37"/>
      <c r="N75" s="16" t="s">
        <v>80</v>
      </c>
      <c r="O75" s="39">
        <v>0</v>
      </c>
      <c r="P75" s="40">
        <f>O75-P21</f>
        <v>0</v>
      </c>
    </row>
    <row r="76" spans="2:16" outlineLevel="1" x14ac:dyDescent="0.45">
      <c r="B76" s="1"/>
      <c r="C76" s="1"/>
      <c r="D76" s="28"/>
      <c r="E76" s="28"/>
      <c r="H76" s="26" t="s">
        <v>34</v>
      </c>
      <c r="I76" s="44">
        <f>SUM(I74:I75)</f>
        <v>700</v>
      </c>
      <c r="J76" s="44">
        <f>SUM(J74:J75)</f>
        <v>700</v>
      </c>
      <c r="K76" s="44">
        <f>SUM(K74:K75)</f>
        <v>700</v>
      </c>
      <c r="L76" s="37"/>
      <c r="N76" s="73" t="s">
        <v>91</v>
      </c>
      <c r="O76" s="39">
        <v>0</v>
      </c>
      <c r="P76" s="40">
        <f>O76+P23</f>
        <v>0</v>
      </c>
    </row>
    <row r="77" spans="2:16" outlineLevel="1" x14ac:dyDescent="0.45">
      <c r="B77" s="1"/>
      <c r="C77" s="1"/>
      <c r="D77" s="28"/>
      <c r="E77" s="28"/>
      <c r="G77" s="1"/>
      <c r="J77" s="50"/>
      <c r="K77" s="50"/>
      <c r="L77" s="37"/>
      <c r="N77" s="73" t="s">
        <v>132</v>
      </c>
      <c r="O77" s="39">
        <v>0</v>
      </c>
      <c r="P77" s="40">
        <f>O77-P24</f>
        <v>0</v>
      </c>
    </row>
    <row r="78" spans="2:16" outlineLevel="1" x14ac:dyDescent="0.45">
      <c r="B78" s="1"/>
      <c r="C78" s="1"/>
      <c r="D78" s="36"/>
      <c r="E78" s="36"/>
      <c r="H78" s="1" t="s">
        <v>14</v>
      </c>
      <c r="I78" s="49">
        <f>I76+I71</f>
        <v>1400</v>
      </c>
      <c r="J78" s="49">
        <f>J76+J71</f>
        <v>1400</v>
      </c>
      <c r="K78" s="49">
        <f>K76+K71</f>
        <v>1400</v>
      </c>
      <c r="L78" s="37"/>
      <c r="M78" s="1"/>
      <c r="N78" s="16" t="s">
        <v>75</v>
      </c>
      <c r="O78" s="39">
        <v>0</v>
      </c>
      <c r="P78" s="40">
        <f>O78-P26</f>
        <v>0</v>
      </c>
    </row>
    <row r="79" spans="2:16" outlineLevel="1" x14ac:dyDescent="0.45">
      <c r="B79" s="1"/>
      <c r="C79" s="48"/>
      <c r="D79" s="50"/>
      <c r="E79" s="50"/>
      <c r="G79" s="16"/>
      <c r="J79" s="19"/>
      <c r="K79" s="47"/>
      <c r="L79" s="47"/>
      <c r="N79" s="73" t="s">
        <v>92</v>
      </c>
      <c r="O79" s="39">
        <v>0</v>
      </c>
      <c r="P79" s="40">
        <f>O79+P28</f>
        <v>0</v>
      </c>
    </row>
    <row r="80" spans="2:16" outlineLevel="1" x14ac:dyDescent="0.45">
      <c r="B80" s="1"/>
      <c r="C80" s="48"/>
      <c r="D80" s="50"/>
      <c r="E80" s="50"/>
      <c r="H80" s="24" t="s">
        <v>110</v>
      </c>
      <c r="I80" s="77">
        <v>500</v>
      </c>
      <c r="J80" s="49">
        <f>$I80+O55+O79+O80+O51+O78</f>
        <v>800</v>
      </c>
      <c r="K80" s="49">
        <f>$I80+P55+P79+P80+P51+P78</f>
        <v>792.5</v>
      </c>
      <c r="L80" s="37"/>
      <c r="N80" s="73" t="s">
        <v>104</v>
      </c>
      <c r="O80" s="39">
        <v>0</v>
      </c>
      <c r="P80" s="40">
        <f>O80-P29</f>
        <v>0</v>
      </c>
    </row>
    <row r="81" spans="2:16" outlineLevel="1" x14ac:dyDescent="0.45">
      <c r="B81" s="1"/>
      <c r="C81" s="48"/>
      <c r="D81" s="49"/>
      <c r="E81" s="49"/>
      <c r="H81" s="16"/>
      <c r="I81" s="39"/>
      <c r="J81" s="40"/>
      <c r="K81" s="40"/>
      <c r="L81" s="37"/>
      <c r="N81" s="26" t="s">
        <v>13</v>
      </c>
      <c r="O81" s="43">
        <f>SUM(O74:O80)</f>
        <v>0</v>
      </c>
      <c r="P81" s="43">
        <f>SUM(P74:P80)</f>
        <v>0</v>
      </c>
    </row>
    <row r="82" spans="2:16" outlineLevel="1" x14ac:dyDescent="0.45">
      <c r="B82" s="1"/>
      <c r="C82" s="48"/>
      <c r="D82" s="49"/>
      <c r="E82" s="49"/>
      <c r="H82" s="1" t="s">
        <v>35</v>
      </c>
      <c r="I82" s="41">
        <f>I78+I80</f>
        <v>1900</v>
      </c>
      <c r="J82" s="41">
        <f t="shared" ref="J82:K82" si="6">J78+J80</f>
        <v>2200</v>
      </c>
      <c r="K82" s="41">
        <f t="shared" si="6"/>
        <v>2192.5</v>
      </c>
      <c r="L82" s="56"/>
    </row>
    <row r="83" spans="2:16" outlineLevel="1" x14ac:dyDescent="0.45">
      <c r="B83" s="1"/>
      <c r="C83" s="1"/>
      <c r="D83" s="49"/>
      <c r="E83" s="49"/>
      <c r="L83" s="56"/>
      <c r="N83" s="1" t="s">
        <v>31</v>
      </c>
      <c r="O83" s="49">
        <f>$I$52</f>
        <v>100</v>
      </c>
      <c r="P83" s="49">
        <f>$I$52</f>
        <v>100</v>
      </c>
    </row>
    <row r="84" spans="2:16" outlineLevel="1" x14ac:dyDescent="0.45">
      <c r="B84" s="1"/>
      <c r="C84" s="1"/>
      <c r="D84" s="57"/>
      <c r="E84" s="57"/>
      <c r="F84" s="25"/>
      <c r="G84" s="1" t="s">
        <v>46</v>
      </c>
      <c r="I84" s="72">
        <f>I64-I82</f>
        <v>0</v>
      </c>
      <c r="J84" s="72">
        <f>J64-J82</f>
        <v>0</v>
      </c>
      <c r="K84" s="72">
        <f>K64-K82</f>
        <v>0</v>
      </c>
      <c r="L84" s="56"/>
    </row>
    <row r="85" spans="2:16" outlineLevel="1" x14ac:dyDescent="0.45">
      <c r="B85" s="1"/>
      <c r="C85" s="1"/>
      <c r="D85" s="49"/>
      <c r="E85" s="49"/>
      <c r="L85" s="56"/>
      <c r="N85" s="1" t="s">
        <v>58</v>
      </c>
      <c r="O85" s="49">
        <f>O81+O71+O65</f>
        <v>300</v>
      </c>
      <c r="P85" s="49">
        <f>P81+P71+P65</f>
        <v>202.5</v>
      </c>
    </row>
    <row r="86" spans="2:16" outlineLevel="1" x14ac:dyDescent="0.45">
      <c r="B86" s="1"/>
      <c r="C86" s="48"/>
      <c r="D86" s="49"/>
      <c r="E86" s="49"/>
      <c r="L86" s="37"/>
      <c r="N86" s="1" t="s">
        <v>109</v>
      </c>
      <c r="O86" s="41">
        <f>O85+O83</f>
        <v>400</v>
      </c>
      <c r="P86" s="41">
        <f>P85+P83</f>
        <v>302.5</v>
      </c>
    </row>
    <row r="87" spans="2:16" x14ac:dyDescent="0.45">
      <c r="B87" s="1"/>
      <c r="C87" s="48"/>
      <c r="D87" s="49"/>
      <c r="E87" s="49"/>
      <c r="L87" s="37"/>
    </row>
    <row r="88" spans="2:16" x14ac:dyDescent="0.45">
      <c r="B88" s="24"/>
      <c r="C88" s="1"/>
      <c r="D88" s="49"/>
      <c r="E88" s="49"/>
      <c r="L88" s="37"/>
    </row>
    <row r="89" spans="2:16" x14ac:dyDescent="0.45">
      <c r="B89" s="24"/>
      <c r="C89" s="1"/>
      <c r="D89" s="1"/>
      <c r="E89" s="1"/>
    </row>
    <row r="90" spans="2:16" x14ac:dyDescent="0.45">
      <c r="B90" s="1"/>
      <c r="C90" s="1"/>
      <c r="D90" s="49"/>
      <c r="E90" s="49"/>
    </row>
    <row r="91" spans="2:16" x14ac:dyDescent="0.45">
      <c r="B91" s="24"/>
      <c r="C91" s="1"/>
      <c r="D91" s="49"/>
      <c r="E91" s="49"/>
      <c r="F91" s="57"/>
    </row>
    <row r="92" spans="2:16" x14ac:dyDescent="0.45">
      <c r="B92" s="1"/>
      <c r="C92" s="1"/>
      <c r="D92" s="1"/>
      <c r="E92" s="1"/>
      <c r="F92" s="58"/>
    </row>
    <row r="93" spans="2:16" x14ac:dyDescent="0.45">
      <c r="B93" s="1"/>
      <c r="C93" s="1"/>
      <c r="D93" s="41"/>
      <c r="E93" s="41"/>
    </row>
    <row r="96" spans="2:16" x14ac:dyDescent="0.45">
      <c r="F96" s="59"/>
    </row>
    <row r="97" spans="6:6" x14ac:dyDescent="0.45">
      <c r="F97" s="60"/>
    </row>
    <row r="98" spans="6:6" x14ac:dyDescent="0.45">
      <c r="F98" s="60"/>
    </row>
    <row r="99" spans="6:6" x14ac:dyDescent="0.45">
      <c r="F99" s="60"/>
    </row>
    <row r="100" spans="6:6" x14ac:dyDescent="0.45">
      <c r="F100" s="60"/>
    </row>
    <row r="101" spans="6:6" x14ac:dyDescent="0.45">
      <c r="F101" s="60"/>
    </row>
    <row r="102" spans="6:6" x14ac:dyDescent="0.45">
      <c r="F102" s="60"/>
    </row>
    <row r="103" spans="6:6" x14ac:dyDescent="0.45">
      <c r="F103" s="60"/>
    </row>
    <row r="104" spans="6:6" x14ac:dyDescent="0.45">
      <c r="F104" s="60"/>
    </row>
    <row r="105" spans="6:6" x14ac:dyDescent="0.45">
      <c r="F105" s="60"/>
    </row>
    <row r="106" spans="6:6" x14ac:dyDescent="0.45">
      <c r="F106" s="60"/>
    </row>
    <row r="107" spans="6:6" x14ac:dyDescent="0.45">
      <c r="F107" s="60"/>
    </row>
    <row r="108" spans="6:6" x14ac:dyDescent="0.45">
      <c r="F108" s="60"/>
    </row>
    <row r="109" spans="6:6" x14ac:dyDescent="0.45">
      <c r="F109" s="60"/>
    </row>
    <row r="110" spans="6:6" x14ac:dyDescent="0.45">
      <c r="F110" s="60"/>
    </row>
    <row r="111" spans="6:6" x14ac:dyDescent="0.45">
      <c r="F111" s="60"/>
    </row>
    <row r="112" spans="6:6" x14ac:dyDescent="0.45">
      <c r="F112" s="60"/>
    </row>
    <row r="113" spans="6:11" x14ac:dyDescent="0.45">
      <c r="F113" s="60"/>
    </row>
    <row r="114" spans="6:11" x14ac:dyDescent="0.45">
      <c r="F114" s="60"/>
    </row>
    <row r="115" spans="6:11" x14ac:dyDescent="0.45">
      <c r="F115" s="60"/>
    </row>
    <row r="116" spans="6:11" x14ac:dyDescent="0.45">
      <c r="F116" s="60"/>
    </row>
    <row r="117" spans="6:11" x14ac:dyDescent="0.45">
      <c r="F117" s="60"/>
    </row>
    <row r="118" spans="6:11" x14ac:dyDescent="0.45">
      <c r="F118" s="60"/>
    </row>
    <row r="119" spans="6:11" x14ac:dyDescent="0.45">
      <c r="F119" s="60"/>
    </row>
    <row r="120" spans="6:11" x14ac:dyDescent="0.45">
      <c r="F120" s="60"/>
    </row>
    <row r="121" spans="6:11" x14ac:dyDescent="0.45">
      <c r="F121" s="60"/>
    </row>
    <row r="122" spans="6:11" x14ac:dyDescent="0.45">
      <c r="F122" s="60"/>
    </row>
    <row r="124" spans="6:11" x14ac:dyDescent="0.45">
      <c r="G124" s="62"/>
      <c r="I124" s="25"/>
      <c r="J124" s="25"/>
      <c r="K124" s="25"/>
    </row>
    <row r="125" spans="6:11" x14ac:dyDescent="0.45">
      <c r="G125" s="62"/>
    </row>
  </sheetData>
  <conditionalFormatting sqref="E50">
    <cfRule type="cellIs" dxfId="84" priority="182" operator="notEqual">
      <formula>$D$50</formula>
    </cfRule>
  </conditionalFormatting>
  <conditionalFormatting sqref="E51">
    <cfRule type="cellIs" dxfId="83" priority="181" operator="notEqual">
      <formula>$D$51</formula>
    </cfRule>
  </conditionalFormatting>
  <conditionalFormatting sqref="E52">
    <cfRule type="cellIs" dxfId="82" priority="180" operator="notEqual">
      <formula>$D$52</formula>
    </cfRule>
  </conditionalFormatting>
  <conditionalFormatting sqref="E54">
    <cfRule type="cellIs" dxfId="81" priority="179" operator="notEqual">
      <formula>$D$54</formula>
    </cfRule>
  </conditionalFormatting>
  <conditionalFormatting sqref="E55">
    <cfRule type="cellIs" dxfId="80" priority="178" operator="notEqual">
      <formula>$D$55</formula>
    </cfRule>
  </conditionalFormatting>
  <conditionalFormatting sqref="E56">
    <cfRule type="cellIs" dxfId="79" priority="5" operator="notEqual">
      <formula>$D$56</formula>
    </cfRule>
  </conditionalFormatting>
  <conditionalFormatting sqref="E57">
    <cfRule type="cellIs" dxfId="78" priority="177" operator="notEqual">
      <formula>$D$57</formula>
    </cfRule>
  </conditionalFormatting>
  <conditionalFormatting sqref="E58">
    <cfRule type="cellIs" dxfId="77" priority="1" operator="notEqual">
      <formula>$D$58</formula>
    </cfRule>
  </conditionalFormatting>
  <conditionalFormatting sqref="E60">
    <cfRule type="cellIs" dxfId="76" priority="6" operator="notEqual">
      <formula>$D$60</formula>
    </cfRule>
  </conditionalFormatting>
  <conditionalFormatting sqref="E61">
    <cfRule type="cellIs" dxfId="75" priority="174" operator="notEqual">
      <formula>$D$61</formula>
    </cfRule>
  </conditionalFormatting>
  <conditionalFormatting sqref="E62">
    <cfRule type="cellIs" dxfId="74" priority="173" operator="notEqual">
      <formula>$D$62</formula>
    </cfRule>
  </conditionalFormatting>
  <conditionalFormatting sqref="E63">
    <cfRule type="cellIs" dxfId="73" priority="172" operator="notEqual">
      <formula>$D$63</formula>
    </cfRule>
  </conditionalFormatting>
  <conditionalFormatting sqref="E64">
    <cfRule type="cellIs" dxfId="72" priority="168" operator="notEqual">
      <formula>$D$64</formula>
    </cfRule>
  </conditionalFormatting>
  <conditionalFormatting sqref="E66">
    <cfRule type="cellIs" dxfId="71" priority="167" operator="notEqual">
      <formula>$D$66</formula>
    </cfRule>
  </conditionalFormatting>
  <conditionalFormatting sqref="E68">
    <cfRule type="cellIs" dxfId="70" priority="164" operator="notEqual">
      <formula>$D$68</formula>
    </cfRule>
  </conditionalFormatting>
  <conditionalFormatting sqref="E69">
    <cfRule type="cellIs" dxfId="69" priority="100" operator="notEqual">
      <formula>$D$69</formula>
    </cfRule>
  </conditionalFormatting>
  <conditionalFormatting sqref="E70">
    <cfRule type="cellIs" dxfId="68" priority="103" operator="notEqual">
      <formula>$D$70</formula>
    </cfRule>
  </conditionalFormatting>
  <conditionalFormatting sqref="E71">
    <cfRule type="cellIs" dxfId="67" priority="102" operator="notEqual">
      <formula>$D$71</formula>
    </cfRule>
  </conditionalFormatting>
  <conditionalFormatting sqref="E78">
    <cfRule type="cellIs" dxfId="66" priority="24" operator="notEqual">
      <formula>$D$78</formula>
    </cfRule>
  </conditionalFormatting>
  <conditionalFormatting sqref="E79">
    <cfRule type="cellIs" dxfId="65" priority="23" operator="notEqual">
      <formula>$D$79</formula>
    </cfRule>
  </conditionalFormatting>
  <conditionalFormatting sqref="E80">
    <cfRule type="cellIs" dxfId="64" priority="22" operator="notEqual">
      <formula>$D$80</formula>
    </cfRule>
  </conditionalFormatting>
  <conditionalFormatting sqref="E81">
    <cfRule type="cellIs" dxfId="63" priority="21" operator="notEqual">
      <formula>$D$81</formula>
    </cfRule>
  </conditionalFormatting>
  <conditionalFormatting sqref="E82">
    <cfRule type="cellIs" dxfId="62" priority="20" operator="notEqual">
      <formula>$D$82</formula>
    </cfRule>
  </conditionalFormatting>
  <conditionalFormatting sqref="E85">
    <cfRule type="cellIs" dxfId="61" priority="19" operator="notEqual">
      <formula>$D$85</formula>
    </cfRule>
  </conditionalFormatting>
  <conditionalFormatting sqref="E86">
    <cfRule type="cellIs" dxfId="60" priority="18" operator="notEqual">
      <formula>$D$86</formula>
    </cfRule>
  </conditionalFormatting>
  <conditionalFormatting sqref="E87">
    <cfRule type="cellIs" dxfId="59" priority="17" operator="notEqual">
      <formula>$D$87</formula>
    </cfRule>
  </conditionalFormatting>
  <conditionalFormatting sqref="E88">
    <cfRule type="cellIs" dxfId="58" priority="16" operator="notEqual">
      <formula>$D$88</formula>
    </cfRule>
  </conditionalFormatting>
  <conditionalFormatting sqref="E90">
    <cfRule type="cellIs" dxfId="57" priority="15" operator="notEqual">
      <formula>$D$90</formula>
    </cfRule>
  </conditionalFormatting>
  <conditionalFormatting sqref="E91">
    <cfRule type="cellIs" dxfId="56" priority="14" operator="notEqual">
      <formula>$D$91</formula>
    </cfRule>
  </conditionalFormatting>
  <conditionalFormatting sqref="E93">
    <cfRule type="cellIs" dxfId="55" priority="13" operator="notEqual">
      <formula>$D$93</formula>
    </cfRule>
  </conditionalFormatting>
  <conditionalFormatting sqref="K52">
    <cfRule type="cellIs" dxfId="54" priority="68" operator="notEqual">
      <formula>$J$52</formula>
    </cfRule>
  </conditionalFormatting>
  <conditionalFormatting sqref="K53">
    <cfRule type="cellIs" dxfId="53" priority="67" operator="notEqual">
      <formula>$J$53</formula>
    </cfRule>
  </conditionalFormatting>
  <conditionalFormatting sqref="K54">
    <cfRule type="cellIs" dxfId="52" priority="66" operator="notEqual">
      <formula>$J$54</formula>
    </cfRule>
  </conditionalFormatting>
  <conditionalFormatting sqref="K55">
    <cfRule type="cellIs" dxfId="51" priority="65" operator="notEqual">
      <formula>$J$55</formula>
    </cfRule>
  </conditionalFormatting>
  <conditionalFormatting sqref="K56">
    <cfRule type="cellIs" dxfId="50" priority="158" stopIfTrue="1" operator="notEqual">
      <formula>$J$56</formula>
    </cfRule>
  </conditionalFormatting>
  <conditionalFormatting sqref="K59">
    <cfRule type="cellIs" dxfId="49" priority="69" operator="notEqual">
      <formula>$J$59</formula>
    </cfRule>
  </conditionalFormatting>
  <conditionalFormatting sqref="K60">
    <cfRule type="cellIs" dxfId="48" priority="3" operator="notEqual">
      <formula>$J$60</formula>
    </cfRule>
  </conditionalFormatting>
  <conditionalFormatting sqref="K61">
    <cfRule type="cellIs" dxfId="47" priority="57" operator="notEqual">
      <formula>$J$61</formula>
    </cfRule>
  </conditionalFormatting>
  <conditionalFormatting sqref="K62">
    <cfRule type="cellIs" dxfId="46" priority="56" operator="notEqual">
      <formula>$J$62</formula>
    </cfRule>
  </conditionalFormatting>
  <conditionalFormatting sqref="K64">
    <cfRule type="cellIs" dxfId="45" priority="152" stopIfTrue="1" operator="notEqual">
      <formula>$J$64</formula>
    </cfRule>
  </conditionalFormatting>
  <conditionalFormatting sqref="K68">
    <cfRule type="cellIs" dxfId="44" priority="150" stopIfTrue="1" operator="notEqual">
      <formula>$J$68</formula>
    </cfRule>
  </conditionalFormatting>
  <conditionalFormatting sqref="K69">
    <cfRule type="cellIs" dxfId="43" priority="149" stopIfTrue="1" operator="notEqual">
      <formula>$J$69</formula>
    </cfRule>
  </conditionalFormatting>
  <conditionalFormatting sqref="K70">
    <cfRule type="cellIs" dxfId="42" priority="147" stopIfTrue="1" operator="notEqual">
      <formula>$J$70</formula>
    </cfRule>
  </conditionalFormatting>
  <conditionalFormatting sqref="K71">
    <cfRule type="cellIs" dxfId="41" priority="148" stopIfTrue="1" operator="notEqual">
      <formula>$J$71</formula>
    </cfRule>
  </conditionalFormatting>
  <conditionalFormatting sqref="K74">
    <cfRule type="cellIs" dxfId="40" priority="145" stopIfTrue="1" operator="notEqual">
      <formula>$J$74</formula>
    </cfRule>
  </conditionalFormatting>
  <conditionalFormatting sqref="K75">
    <cfRule type="cellIs" dxfId="39" priority="74" operator="notEqual">
      <formula>$J$75</formula>
    </cfRule>
  </conditionalFormatting>
  <conditionalFormatting sqref="K76">
    <cfRule type="cellIs" dxfId="38" priority="42" operator="notEqual">
      <formula>$J$76</formula>
    </cfRule>
  </conditionalFormatting>
  <conditionalFormatting sqref="K78">
    <cfRule type="cellIs" dxfId="37" priority="143" stopIfTrue="1" operator="notEqual">
      <formula>$J$78</formula>
    </cfRule>
  </conditionalFormatting>
  <conditionalFormatting sqref="K80">
    <cfRule type="cellIs" dxfId="36" priority="28" operator="notEqual">
      <formula>$J$80</formula>
    </cfRule>
  </conditionalFormatting>
  <conditionalFormatting sqref="K81">
    <cfRule type="cellIs" dxfId="35" priority="101" operator="notEqual">
      <formula>$J$81</formula>
    </cfRule>
  </conditionalFormatting>
  <conditionalFormatting sqref="K82">
    <cfRule type="cellIs" dxfId="34" priority="137" stopIfTrue="1" operator="notEqual">
      <formula>$J$82</formula>
    </cfRule>
  </conditionalFormatting>
  <conditionalFormatting sqref="P51">
    <cfRule type="cellIs" dxfId="33" priority="136" stopIfTrue="1" operator="notEqual">
      <formula>$O$51</formula>
    </cfRule>
  </conditionalFormatting>
  <conditionalFormatting sqref="P53">
    <cfRule type="cellIs" dxfId="32" priority="135" stopIfTrue="1" operator="notEqual">
      <formula>$O$53</formula>
    </cfRule>
  </conditionalFormatting>
  <conditionalFormatting sqref="P54">
    <cfRule type="cellIs" dxfId="31" priority="4" stopIfTrue="1" operator="notEqual">
      <formula>$O$54</formula>
    </cfRule>
  </conditionalFormatting>
  <conditionalFormatting sqref="P55">
    <cfRule type="cellIs" dxfId="30" priority="134" stopIfTrue="1" operator="notEqual">
      <formula>$O$55</formula>
    </cfRule>
  </conditionalFormatting>
  <conditionalFormatting sqref="P56">
    <cfRule type="cellIs" dxfId="29" priority="132" operator="notEqual">
      <formula>$O$56</formula>
    </cfRule>
  </conditionalFormatting>
  <conditionalFormatting sqref="P57">
    <cfRule type="cellIs" dxfId="28" priority="131" stopIfTrue="1" operator="notEqual">
      <formula>$O$57</formula>
    </cfRule>
  </conditionalFormatting>
  <conditionalFormatting sqref="P59">
    <cfRule type="cellIs" dxfId="27" priority="127" operator="notEqual">
      <formula>$O$59</formula>
    </cfRule>
  </conditionalFormatting>
  <conditionalFormatting sqref="P60">
    <cfRule type="cellIs" dxfId="26" priority="126" operator="notEqual">
      <formula>$O$60</formula>
    </cfRule>
  </conditionalFormatting>
  <conditionalFormatting sqref="P61">
    <cfRule type="cellIs" dxfId="25" priority="125" operator="notEqual">
      <formula>$O$61</formula>
    </cfRule>
  </conditionalFormatting>
  <conditionalFormatting sqref="P62">
    <cfRule type="cellIs" dxfId="24" priority="124" operator="notEqual">
      <formula>$O$62</formula>
    </cfRule>
  </conditionalFormatting>
  <conditionalFormatting sqref="P63">
    <cfRule type="cellIs" dxfId="23" priority="123" operator="notEqual">
      <formula>$O$63</formula>
    </cfRule>
  </conditionalFormatting>
  <conditionalFormatting sqref="P64">
    <cfRule type="cellIs" dxfId="22" priority="122" operator="notEqual">
      <formula>$O$64</formula>
    </cfRule>
  </conditionalFormatting>
  <conditionalFormatting sqref="P65">
    <cfRule type="cellIs" dxfId="21" priority="36" operator="notEqual">
      <formula>$O$65</formula>
    </cfRule>
  </conditionalFormatting>
  <conditionalFormatting sqref="P68">
    <cfRule type="cellIs" dxfId="20" priority="117" stopIfTrue="1" operator="notEqual">
      <formula>$O$68</formula>
    </cfRule>
  </conditionalFormatting>
  <conditionalFormatting sqref="P69">
    <cfRule type="cellIs" dxfId="19" priority="2" stopIfTrue="1" operator="notEqual">
      <formula>$O$69</formula>
    </cfRule>
  </conditionalFormatting>
  <conditionalFormatting sqref="P70">
    <cfRule type="cellIs" dxfId="18" priority="116" stopIfTrue="1" operator="notEqual">
      <formula>$O$70</formula>
    </cfRule>
  </conditionalFormatting>
  <conditionalFormatting sqref="P71">
    <cfRule type="cellIs" dxfId="17" priority="115" stopIfTrue="1" operator="notEqual">
      <formula>$O$71</formula>
    </cfRule>
  </conditionalFormatting>
  <conditionalFormatting sqref="P74">
    <cfRule type="cellIs" dxfId="16" priority="113" operator="notEqual">
      <formula>$O$74</formula>
    </cfRule>
  </conditionalFormatting>
  <conditionalFormatting sqref="P75">
    <cfRule type="cellIs" dxfId="15" priority="112" operator="notEqual">
      <formula>$O$75</formula>
    </cfRule>
  </conditionalFormatting>
  <conditionalFormatting sqref="P76">
    <cfRule type="cellIs" dxfId="14" priority="77" operator="notEqual">
      <formula>$O$76</formula>
    </cfRule>
  </conditionalFormatting>
  <conditionalFormatting sqref="P77">
    <cfRule type="cellIs" dxfId="13" priority="76" operator="notEqual">
      <formula>$O$77</formula>
    </cfRule>
  </conditionalFormatting>
  <conditionalFormatting sqref="P78">
    <cfRule type="cellIs" dxfId="12" priority="114" operator="notEqual">
      <formula>$O$78</formula>
    </cfRule>
  </conditionalFormatting>
  <conditionalFormatting sqref="P79">
    <cfRule type="cellIs" dxfId="11" priority="108" operator="notEqual">
      <formula>$O$79</formula>
    </cfRule>
  </conditionalFormatting>
  <conditionalFormatting sqref="P80">
    <cfRule type="cellIs" dxfId="10" priority="109" operator="notEqual">
      <formula>$O$80</formula>
    </cfRule>
  </conditionalFormatting>
  <conditionalFormatting sqref="P81">
    <cfRule type="cellIs" dxfId="9" priority="107" operator="notEqual">
      <formula>$O$81</formula>
    </cfRule>
  </conditionalFormatting>
  <conditionalFormatting sqref="P83">
    <cfRule type="cellIs" dxfId="8" priority="106" operator="notEqual">
      <formula>$O$83</formula>
    </cfRule>
  </conditionalFormatting>
  <conditionalFormatting sqref="P85">
    <cfRule type="cellIs" dxfId="7" priority="105" operator="notEqual">
      <formula>$O$85</formula>
    </cfRule>
  </conditionalFormatting>
  <conditionalFormatting sqref="P86">
    <cfRule type="cellIs" dxfId="6" priority="104" operator="notEqual">
      <formula>$O$86</formula>
    </cfRule>
  </conditionalFormatting>
  <dataValidations count="2">
    <dataValidation type="decimal" operator="greaterThanOrEqual" allowBlank="1" showInputMessage="1" showErrorMessage="1" sqref="E17:E18 D61 D50 P17:P18 O70 O74 O79 K18:K19 K22:K23 K30:K31 K34:K35 K42:K43 K26:K27 E43 P26 E36:E41 P28:P29 P23:P24 P20:P21 E27:E28 E20:E25 K38:K39" xr:uid="{00000000-0002-0000-0100-000000000000}">
      <formula1>0</formula1>
    </dataValidation>
    <dataValidation type="decimal" operator="lessThanOrEqual" allowBlank="1" showInputMessage="1" showErrorMessage="1" sqref="D62 O68 D69:E69 O75 O80 O78 D51 D54:D57" xr:uid="{00000000-0002-0000-0100-000001000000}">
      <formula1>0</formula1>
    </dataValidation>
  </dataValidations>
  <pageMargins left="0.7" right="0.7" top="0.75" bottom="0.75" header="0.3" footer="0.3"/>
  <pageSetup scale="47" orientation="landscape" r:id="rId1"/>
  <rowBreaks count="1" manualBreakCount="1">
    <brk id="44" max="16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97D22-154A-4951-A16A-CE2DC296DE5D}">
  <sheetPr>
    <pageSetUpPr autoPageBreaks="0"/>
  </sheetPr>
  <dimension ref="B2:N46"/>
  <sheetViews>
    <sheetView showGridLines="0" zoomScaleNormal="100" workbookViewId="0">
      <selection activeCell="B2" sqref="B2"/>
    </sheetView>
  </sheetViews>
  <sheetFormatPr defaultRowHeight="15.9" outlineLevelRow="1" x14ac:dyDescent="0.45"/>
  <cols>
    <col min="1" max="2" width="2.69140625" style="80" customWidth="1"/>
    <col min="3" max="3" width="29.07421875" style="80" bestFit="1" customWidth="1"/>
    <col min="4" max="7" width="12.3046875" style="80" customWidth="1"/>
    <col min="8" max="9" width="2.69140625" style="80" customWidth="1"/>
    <col min="10" max="10" width="29.07421875" style="80" customWidth="1"/>
    <col min="11" max="14" width="12.3046875" style="80" customWidth="1"/>
    <col min="15" max="15" width="2.69140625" style="80" customWidth="1"/>
    <col min="16" max="16384" width="9.23046875" style="80"/>
  </cols>
  <sheetData>
    <row r="2" spans="2:14" ht="18.45" x14ac:dyDescent="0.5">
      <c r="B2" s="61" t="s">
        <v>211</v>
      </c>
    </row>
    <row r="3" spans="2:14" x14ac:dyDescent="0.45">
      <c r="B3" s="80" t="s">
        <v>190</v>
      </c>
    </row>
    <row r="5" spans="2:14" x14ac:dyDescent="0.45">
      <c r="B5" s="9" t="s">
        <v>201</v>
      </c>
      <c r="C5" s="165"/>
      <c r="D5" s="174" t="s">
        <v>149</v>
      </c>
      <c r="E5" s="165" t="s">
        <v>150</v>
      </c>
      <c r="F5" s="165" t="s">
        <v>151</v>
      </c>
      <c r="G5" s="165" t="s">
        <v>152</v>
      </c>
      <c r="I5" s="9" t="s">
        <v>202</v>
      </c>
      <c r="J5" s="165"/>
      <c r="K5" s="174" t="str">
        <f>$D$5</f>
        <v>Units:</v>
      </c>
      <c r="L5" s="165" t="s">
        <v>150</v>
      </c>
      <c r="M5" s="165" t="s">
        <v>151</v>
      </c>
      <c r="N5" s="165" t="s">
        <v>152</v>
      </c>
    </row>
    <row r="6" spans="2:14" outlineLevel="1" x14ac:dyDescent="0.45">
      <c r="C6" s="80" t="s">
        <v>191</v>
      </c>
      <c r="D6" s="115" t="s">
        <v>160</v>
      </c>
      <c r="E6" s="166">
        <v>500</v>
      </c>
      <c r="J6" s="80" t="s">
        <v>191</v>
      </c>
      <c r="K6" s="115" t="s">
        <v>160</v>
      </c>
      <c r="L6" s="166">
        <v>500</v>
      </c>
    </row>
    <row r="7" spans="2:14" outlineLevel="1" x14ac:dyDescent="0.45">
      <c r="C7" s="73" t="s">
        <v>212</v>
      </c>
      <c r="D7" s="115" t="s">
        <v>160</v>
      </c>
      <c r="E7" s="167">
        <v>0</v>
      </c>
      <c r="J7" s="73" t="s">
        <v>212</v>
      </c>
      <c r="K7" s="115" t="s">
        <v>160</v>
      </c>
      <c r="L7" s="167">
        <v>0</v>
      </c>
    </row>
    <row r="8" spans="2:14" outlineLevel="1" x14ac:dyDescent="0.45">
      <c r="C8" s="73" t="s">
        <v>213</v>
      </c>
      <c r="D8" s="115" t="s">
        <v>160</v>
      </c>
      <c r="E8" s="180">
        <v>0</v>
      </c>
      <c r="J8" s="73" t="s">
        <v>213</v>
      </c>
      <c r="K8" s="115" t="s">
        <v>160</v>
      </c>
      <c r="L8" s="167">
        <v>0</v>
      </c>
    </row>
    <row r="9" spans="2:14" outlineLevel="1" x14ac:dyDescent="0.45">
      <c r="C9" s="26" t="s">
        <v>136</v>
      </c>
      <c r="D9" s="181" t="s">
        <v>160</v>
      </c>
      <c r="E9" s="182">
        <f>SUM(E6:E8)</f>
        <v>500</v>
      </c>
      <c r="J9" s="26" t="s">
        <v>136</v>
      </c>
      <c r="K9" s="181" t="s">
        <v>160</v>
      </c>
      <c r="L9" s="182">
        <f>SUM(L6:L8)</f>
        <v>500</v>
      </c>
    </row>
    <row r="10" spans="2:14" outlineLevel="1" x14ac:dyDescent="0.45">
      <c r="E10" s="168"/>
      <c r="L10" s="168"/>
    </row>
    <row r="11" spans="2:14" outlineLevel="1" x14ac:dyDescent="0.45">
      <c r="C11" s="80" t="s">
        <v>204</v>
      </c>
      <c r="D11" s="126" t="s">
        <v>166</v>
      </c>
      <c r="E11" s="176">
        <v>0.08</v>
      </c>
      <c r="J11" s="80" t="s">
        <v>204</v>
      </c>
      <c r="K11" s="126" t="s">
        <v>166</v>
      </c>
      <c r="L11" s="176">
        <v>0.08</v>
      </c>
    </row>
    <row r="12" spans="2:14" outlineLevel="1" x14ac:dyDescent="0.45">
      <c r="C12" s="80" t="s">
        <v>205</v>
      </c>
      <c r="D12" s="126" t="s">
        <v>166</v>
      </c>
      <c r="E12" s="176">
        <v>0.03</v>
      </c>
      <c r="J12" s="80" t="s">
        <v>205</v>
      </c>
      <c r="K12" s="126" t="s">
        <v>166</v>
      </c>
      <c r="L12" s="176">
        <v>0.03</v>
      </c>
    </row>
    <row r="13" spans="2:14" outlineLevel="1" x14ac:dyDescent="0.45">
      <c r="C13" s="80" t="s">
        <v>24</v>
      </c>
      <c r="D13" s="126" t="s">
        <v>166</v>
      </c>
      <c r="E13" s="176">
        <v>0.25</v>
      </c>
      <c r="J13" s="80" t="s">
        <v>24</v>
      </c>
      <c r="K13" s="126" t="s">
        <v>166</v>
      </c>
      <c r="L13" s="176">
        <v>0.25</v>
      </c>
    </row>
    <row r="14" spans="2:14" outlineLevel="1" x14ac:dyDescent="0.45"/>
    <row r="15" spans="2:14" outlineLevel="1" x14ac:dyDescent="0.45">
      <c r="C15" s="80" t="s">
        <v>206</v>
      </c>
      <c r="D15" s="126" t="s">
        <v>166</v>
      </c>
      <c r="E15" s="176">
        <v>0.34</v>
      </c>
      <c r="J15" s="80" t="s">
        <v>206</v>
      </c>
      <c r="K15" s="126" t="s">
        <v>166</v>
      </c>
      <c r="L15" s="176">
        <v>0.34</v>
      </c>
    </row>
    <row r="16" spans="2:14" outlineLevel="1" x14ac:dyDescent="0.45">
      <c r="C16" s="80" t="s">
        <v>207</v>
      </c>
      <c r="D16" s="126" t="s">
        <v>166</v>
      </c>
      <c r="E16" s="176">
        <v>0.51</v>
      </c>
      <c r="J16" s="80" t="s">
        <v>207</v>
      </c>
      <c r="K16" s="126" t="s">
        <v>166</v>
      </c>
      <c r="L16" s="176">
        <v>0.51</v>
      </c>
    </row>
    <row r="17" spans="2:14" outlineLevel="1" x14ac:dyDescent="0.45">
      <c r="C17" s="80" t="s">
        <v>174</v>
      </c>
      <c r="D17" s="126" t="s">
        <v>166</v>
      </c>
      <c r="E17" s="176">
        <v>0.04</v>
      </c>
      <c r="J17" s="80" t="s">
        <v>174</v>
      </c>
      <c r="K17" s="126" t="s">
        <v>166</v>
      </c>
      <c r="L17" s="176">
        <v>0.04</v>
      </c>
    </row>
    <row r="18" spans="2:14" outlineLevel="1" x14ac:dyDescent="0.45"/>
    <row r="19" spans="2:14" outlineLevel="1" x14ac:dyDescent="0.45">
      <c r="C19" s="80" t="s">
        <v>192</v>
      </c>
      <c r="D19" s="175" t="s">
        <v>203</v>
      </c>
      <c r="E19" s="169">
        <f>IFERROR($E6/E41,"N/A")</f>
        <v>15.151515151515152</v>
      </c>
      <c r="F19" s="169">
        <f t="shared" ref="F19:G19" si="0">IFERROR($E6/F41,"N/A")</f>
        <v>13.468013468013469</v>
      </c>
      <c r="G19" s="169">
        <f t="shared" si="0"/>
        <v>12.121212121212121</v>
      </c>
      <c r="J19" s="80" t="s">
        <v>192</v>
      </c>
      <c r="K19" s="175" t="s">
        <v>203</v>
      </c>
      <c r="L19" s="169">
        <f>IFERROR($L6/L41,"N/A")</f>
        <v>15.151515151515152</v>
      </c>
      <c r="M19" s="169">
        <f t="shared" ref="M19:N19" si="1">IFERROR($L6/M41,"N/A")</f>
        <v>13.468013468013469</v>
      </c>
      <c r="N19" s="169">
        <f t="shared" si="1"/>
        <v>12.121212121212121</v>
      </c>
    </row>
    <row r="20" spans="2:14" outlineLevel="1" x14ac:dyDescent="0.45">
      <c r="C20" s="80" t="s">
        <v>210</v>
      </c>
      <c r="D20" s="175" t="s">
        <v>203</v>
      </c>
      <c r="E20" s="169">
        <f>IFERROR($E$9/E43, "N/A")</f>
        <v>8.3333333333333339</v>
      </c>
      <c r="F20" s="169">
        <f t="shared" ref="F20:G20" si="2">IFERROR($E$9/F43, "N/A")</f>
        <v>7.4074074074074074</v>
      </c>
      <c r="G20" s="169">
        <f t="shared" si="2"/>
        <v>6.666666666666667</v>
      </c>
      <c r="J20" s="80" t="s">
        <v>210</v>
      </c>
      <c r="K20" s="175" t="s">
        <v>203</v>
      </c>
      <c r="L20" s="169">
        <f>IFERROR($L$9/L43, "N/A")</f>
        <v>8.3333333333333339</v>
      </c>
      <c r="M20" s="169">
        <f t="shared" ref="M20:N20" si="3">IFERROR($L$9/M43, "N/A")</f>
        <v>7.4074074074074074</v>
      </c>
      <c r="N20" s="169">
        <f t="shared" si="3"/>
        <v>6.666666666666667</v>
      </c>
    </row>
    <row r="22" spans="2:14" x14ac:dyDescent="0.45">
      <c r="B22" s="9" t="s">
        <v>193</v>
      </c>
      <c r="C22" s="165"/>
      <c r="D22" s="174" t="str">
        <f>$D$5</f>
        <v>Units:</v>
      </c>
      <c r="E22" s="165" t="s">
        <v>150</v>
      </c>
      <c r="F22" s="165" t="s">
        <v>151</v>
      </c>
      <c r="G22" s="165" t="s">
        <v>152</v>
      </c>
      <c r="I22" s="9" t="s">
        <v>194</v>
      </c>
      <c r="J22" s="9"/>
      <c r="K22" s="174" t="str">
        <f>$D$5</f>
        <v>Units:</v>
      </c>
      <c r="L22" s="165" t="s">
        <v>150</v>
      </c>
      <c r="M22" s="165" t="s">
        <v>151</v>
      </c>
      <c r="N22" s="165" t="s">
        <v>152</v>
      </c>
    </row>
    <row r="23" spans="2:14" outlineLevel="1" x14ac:dyDescent="0.45">
      <c r="C23" s="80" t="s">
        <v>25</v>
      </c>
      <c r="D23" s="115" t="s">
        <v>160</v>
      </c>
      <c r="E23" s="170">
        <v>400</v>
      </c>
      <c r="F23" s="170">
        <v>450</v>
      </c>
      <c r="G23" s="170">
        <v>500</v>
      </c>
      <c r="J23" s="80" t="s">
        <v>25</v>
      </c>
      <c r="K23" s="115" t="s">
        <v>160</v>
      </c>
      <c r="L23" s="170">
        <v>400</v>
      </c>
      <c r="M23" s="170">
        <v>450</v>
      </c>
      <c r="N23" s="170">
        <v>500</v>
      </c>
    </row>
    <row r="24" spans="2:14" outlineLevel="1" x14ac:dyDescent="0.45">
      <c r="C24" s="171" t="s">
        <v>195</v>
      </c>
      <c r="D24" s="126" t="s">
        <v>166</v>
      </c>
      <c r="E24" s="178">
        <v>0.15</v>
      </c>
      <c r="F24" s="177">
        <f>F23/E23-1</f>
        <v>0.125</v>
      </c>
      <c r="G24" s="177">
        <f>G23/F23-1</f>
        <v>0.11111111111111116</v>
      </c>
      <c r="J24" s="171" t="s">
        <v>195</v>
      </c>
      <c r="K24" s="126" t="s">
        <v>166</v>
      </c>
      <c r="L24" s="178">
        <v>0.15</v>
      </c>
      <c r="M24" s="177">
        <f>M23/L23-1</f>
        <v>0.125</v>
      </c>
      <c r="N24" s="177">
        <f>N23/M23-1</f>
        <v>0.11111111111111116</v>
      </c>
    </row>
    <row r="25" spans="2:14" outlineLevel="1" x14ac:dyDescent="0.45">
      <c r="E25" s="172"/>
      <c r="F25" s="172"/>
      <c r="G25" s="172"/>
    </row>
    <row r="26" spans="2:14" outlineLevel="1" x14ac:dyDescent="0.45">
      <c r="C26" s="73" t="s">
        <v>198</v>
      </c>
      <c r="D26" s="115" t="s">
        <v>160</v>
      </c>
      <c r="E26" s="40">
        <f>-E23*$E$15</f>
        <v>-136</v>
      </c>
      <c r="F26" s="40">
        <f t="shared" ref="F26:G26" si="4">-F23*$E$15</f>
        <v>-153</v>
      </c>
      <c r="G26" s="40">
        <f t="shared" si="4"/>
        <v>-170</v>
      </c>
      <c r="J26" s="73" t="s">
        <v>198</v>
      </c>
      <c r="K26" s="115" t="s">
        <v>160</v>
      </c>
      <c r="L26" s="40">
        <f>-L23*$L$15</f>
        <v>-136</v>
      </c>
      <c r="M26" s="40">
        <f t="shared" ref="M26:N26" si="5">-M23*$L$15</f>
        <v>-153</v>
      </c>
      <c r="N26" s="40">
        <f t="shared" si="5"/>
        <v>-170</v>
      </c>
    </row>
    <row r="27" spans="2:14" outlineLevel="1" x14ac:dyDescent="0.45">
      <c r="E27" s="81"/>
      <c r="F27" s="81"/>
      <c r="G27" s="81"/>
      <c r="L27" s="81"/>
      <c r="M27" s="81"/>
      <c r="N27" s="81"/>
    </row>
    <row r="28" spans="2:14" outlineLevel="1" x14ac:dyDescent="0.45">
      <c r="C28" s="24" t="s">
        <v>0</v>
      </c>
      <c r="D28" s="115" t="s">
        <v>160</v>
      </c>
      <c r="E28" s="49">
        <f>E23+E26</f>
        <v>264</v>
      </c>
      <c r="F28" s="49">
        <f t="shared" ref="F28:G28" si="6">F23+F26</f>
        <v>297</v>
      </c>
      <c r="G28" s="49">
        <f t="shared" si="6"/>
        <v>330</v>
      </c>
      <c r="J28" s="24" t="s">
        <v>0</v>
      </c>
      <c r="K28" s="115" t="s">
        <v>160</v>
      </c>
      <c r="L28" s="49">
        <f>L23+L26</f>
        <v>264</v>
      </c>
      <c r="M28" s="49">
        <f t="shared" ref="M28" si="7">M23+M26</f>
        <v>297</v>
      </c>
      <c r="N28" s="49">
        <f t="shared" ref="N28" si="8">N23+N26</f>
        <v>330</v>
      </c>
    </row>
    <row r="29" spans="2:14" outlineLevel="1" x14ac:dyDescent="0.45">
      <c r="C29" s="171" t="s">
        <v>196</v>
      </c>
      <c r="D29" s="126" t="s">
        <v>166</v>
      </c>
      <c r="E29" s="177">
        <f>E28/E$23</f>
        <v>0.66</v>
      </c>
      <c r="F29" s="177">
        <f t="shared" ref="F29:G29" si="9">F28/F$23</f>
        <v>0.66</v>
      </c>
      <c r="G29" s="177">
        <f t="shared" si="9"/>
        <v>0.66</v>
      </c>
      <c r="J29" s="171" t="s">
        <v>196</v>
      </c>
      <c r="K29" s="126" t="s">
        <v>166</v>
      </c>
      <c r="L29" s="177">
        <f>L28/L23</f>
        <v>0.66</v>
      </c>
      <c r="M29" s="177">
        <f>M28/M23</f>
        <v>0.66</v>
      </c>
      <c r="N29" s="177">
        <f>N28/N23</f>
        <v>0.66</v>
      </c>
    </row>
    <row r="30" spans="2:14" outlineLevel="1" x14ac:dyDescent="0.45"/>
    <row r="31" spans="2:14" outlineLevel="1" x14ac:dyDescent="0.45">
      <c r="C31" s="80" t="s">
        <v>126</v>
      </c>
      <c r="D31" s="115" t="s">
        <v>160</v>
      </c>
      <c r="E31" s="40">
        <f>-E23*$E$16</f>
        <v>-204</v>
      </c>
      <c r="F31" s="40">
        <f t="shared" ref="F31:G31" si="10">-F23*$E$16</f>
        <v>-229.5</v>
      </c>
      <c r="G31" s="40">
        <f t="shared" si="10"/>
        <v>-255</v>
      </c>
      <c r="J31" s="80" t="s">
        <v>126</v>
      </c>
      <c r="K31" s="115" t="s">
        <v>160</v>
      </c>
      <c r="L31" s="40">
        <f>-L23*$L$16</f>
        <v>-204</v>
      </c>
      <c r="M31" s="40">
        <f t="shared" ref="M31:N31" si="11">-M23*$L$16</f>
        <v>-229.5</v>
      </c>
      <c r="N31" s="40">
        <f t="shared" si="11"/>
        <v>-255</v>
      </c>
    </row>
    <row r="32" spans="2:14" outlineLevel="1" x14ac:dyDescent="0.45">
      <c r="C32" s="80" t="s">
        <v>171</v>
      </c>
      <c r="D32" s="115" t="s">
        <v>160</v>
      </c>
      <c r="E32" s="40">
        <f>-E23*$E$17</f>
        <v>-16</v>
      </c>
      <c r="F32" s="40">
        <f t="shared" ref="F32:G32" si="12">-F23*$E$17</f>
        <v>-18</v>
      </c>
      <c r="G32" s="40">
        <f t="shared" si="12"/>
        <v>-20</v>
      </c>
      <c r="J32" s="80" t="s">
        <v>171</v>
      </c>
      <c r="K32" s="115" t="s">
        <v>160</v>
      </c>
      <c r="L32" s="40">
        <f>-L23*$L$17</f>
        <v>-16</v>
      </c>
      <c r="M32" s="40">
        <f t="shared" ref="M32:N32" si="13">-M23*$L$17</f>
        <v>-18</v>
      </c>
      <c r="N32" s="40">
        <f t="shared" si="13"/>
        <v>-20</v>
      </c>
    </row>
    <row r="33" spans="3:14" outlineLevel="1" x14ac:dyDescent="0.45">
      <c r="C33" s="48"/>
      <c r="E33" s="49"/>
      <c r="F33" s="49"/>
      <c r="G33" s="49"/>
      <c r="J33" s="48"/>
      <c r="L33" s="49"/>
      <c r="M33" s="49"/>
      <c r="N33" s="49"/>
    </row>
    <row r="34" spans="3:14" outlineLevel="1" x14ac:dyDescent="0.45">
      <c r="C34" s="24" t="s">
        <v>1</v>
      </c>
      <c r="D34" s="115" t="s">
        <v>160</v>
      </c>
      <c r="E34" s="49">
        <f>E28+SUM(E31:E32)</f>
        <v>44</v>
      </c>
      <c r="F34" s="49">
        <f t="shared" ref="F34:G34" si="14">F28+SUM(F31:F32)</f>
        <v>49.5</v>
      </c>
      <c r="G34" s="49">
        <f t="shared" si="14"/>
        <v>55</v>
      </c>
      <c r="J34" s="24" t="s">
        <v>1</v>
      </c>
      <c r="K34" s="115" t="s">
        <v>160</v>
      </c>
      <c r="L34" s="49">
        <f>L28+SUM(L31:L32)</f>
        <v>44</v>
      </c>
      <c r="M34" s="49">
        <f t="shared" ref="M34:N34" si="15">M28+SUM(M31:M32)</f>
        <v>49.5</v>
      </c>
      <c r="N34" s="49">
        <f t="shared" si="15"/>
        <v>55</v>
      </c>
    </row>
    <row r="35" spans="3:14" outlineLevel="1" x14ac:dyDescent="0.45">
      <c r="C35" s="171" t="s">
        <v>197</v>
      </c>
      <c r="D35" s="126" t="s">
        <v>166</v>
      </c>
      <c r="E35" s="177">
        <f>E34/E$23</f>
        <v>0.11</v>
      </c>
      <c r="F35" s="177">
        <f t="shared" ref="F35" si="16">F34/F$23</f>
        <v>0.11</v>
      </c>
      <c r="G35" s="177">
        <f t="shared" ref="G35" si="17">G34/G$23</f>
        <v>0.11</v>
      </c>
      <c r="J35" s="171" t="s">
        <v>197</v>
      </c>
      <c r="K35" s="126" t="s">
        <v>166</v>
      </c>
      <c r="L35" s="177">
        <f>L34/L23</f>
        <v>0.11</v>
      </c>
      <c r="M35" s="177">
        <f>M34/M23</f>
        <v>0.11</v>
      </c>
      <c r="N35" s="177">
        <f>N34/N23</f>
        <v>0.11</v>
      </c>
    </row>
    <row r="36" spans="3:14" outlineLevel="1" x14ac:dyDescent="0.45"/>
    <row r="37" spans="3:14" outlineLevel="1" x14ac:dyDescent="0.45">
      <c r="C37" s="86" t="s">
        <v>199</v>
      </c>
      <c r="D37" s="131" t="s">
        <v>160</v>
      </c>
      <c r="E37" s="179">
        <f>-$E$7*$E$12-$E$8*$E$11</f>
        <v>0</v>
      </c>
      <c r="F37" s="179">
        <f t="shared" ref="F37:G37" si="18">-$E$7*$E$12-$E$8*$E$11</f>
        <v>0</v>
      </c>
      <c r="G37" s="179">
        <f t="shared" si="18"/>
        <v>0</v>
      </c>
      <c r="J37" s="86" t="s">
        <v>199</v>
      </c>
      <c r="K37" s="131" t="s">
        <v>160</v>
      </c>
      <c r="L37" s="179">
        <f>-$L$7*$L$12-$L$8*$L$11</f>
        <v>0</v>
      </c>
      <c r="M37" s="179">
        <f t="shared" ref="M37:N37" si="19">-$L$7*$L$12-$L$8*$L$11</f>
        <v>0</v>
      </c>
      <c r="N37" s="179">
        <f t="shared" si="19"/>
        <v>0</v>
      </c>
    </row>
    <row r="38" spans="3:14" outlineLevel="1" x14ac:dyDescent="0.45">
      <c r="C38" s="24" t="s">
        <v>2</v>
      </c>
      <c r="D38" s="115" t="s">
        <v>160</v>
      </c>
      <c r="E38" s="49">
        <f>E34+E37</f>
        <v>44</v>
      </c>
      <c r="F38" s="49">
        <f t="shared" ref="F38:G38" si="20">F34+F37</f>
        <v>49.5</v>
      </c>
      <c r="G38" s="49">
        <f t="shared" si="20"/>
        <v>55</v>
      </c>
      <c r="J38" s="24" t="s">
        <v>2</v>
      </c>
      <c r="K38" s="115" t="s">
        <v>160</v>
      </c>
      <c r="L38" s="49">
        <f>L34+L37</f>
        <v>44</v>
      </c>
      <c r="M38" s="49">
        <f t="shared" ref="M38" si="21">M34+M37</f>
        <v>49.5</v>
      </c>
      <c r="N38" s="49">
        <f t="shared" ref="N38" si="22">N34+N37</f>
        <v>55</v>
      </c>
    </row>
    <row r="39" spans="3:14" outlineLevel="1" x14ac:dyDescent="0.45"/>
    <row r="40" spans="3:14" outlineLevel="1" x14ac:dyDescent="0.45">
      <c r="C40" s="86" t="s">
        <v>200</v>
      </c>
      <c r="D40" s="131" t="s">
        <v>160</v>
      </c>
      <c r="E40" s="40">
        <f>-E38*$E$13</f>
        <v>-11</v>
      </c>
      <c r="F40" s="40">
        <f>-F38*$E$13</f>
        <v>-12.375</v>
      </c>
      <c r="G40" s="40">
        <f>-G38*$E$13</f>
        <v>-13.75</v>
      </c>
      <c r="J40" s="86" t="s">
        <v>200</v>
      </c>
      <c r="K40" s="131" t="s">
        <v>160</v>
      </c>
      <c r="L40" s="40">
        <f>-L38*$L$13</f>
        <v>-11</v>
      </c>
      <c r="M40" s="40">
        <f>-M38*$L$13</f>
        <v>-12.375</v>
      </c>
      <c r="N40" s="40">
        <f>-N38*$L$13</f>
        <v>-13.75</v>
      </c>
    </row>
    <row r="41" spans="3:14" outlineLevel="1" x14ac:dyDescent="0.45">
      <c r="C41" s="24" t="s">
        <v>10</v>
      </c>
      <c r="D41" s="115" t="s">
        <v>160</v>
      </c>
      <c r="E41" s="43">
        <f>E38+E40</f>
        <v>33</v>
      </c>
      <c r="F41" s="43">
        <f>F38+F40</f>
        <v>37.125</v>
      </c>
      <c r="G41" s="43">
        <f>G38+G40</f>
        <v>41.25</v>
      </c>
      <c r="J41" s="24" t="s">
        <v>10</v>
      </c>
      <c r="K41" s="115" t="s">
        <v>160</v>
      </c>
      <c r="L41" s="43">
        <f>L38+L40</f>
        <v>33</v>
      </c>
      <c r="M41" s="43">
        <f>M38+M40</f>
        <v>37.125</v>
      </c>
      <c r="N41" s="43">
        <f>N38+N40</f>
        <v>41.25</v>
      </c>
    </row>
    <row r="42" spans="3:14" outlineLevel="1" x14ac:dyDescent="0.45">
      <c r="C42" s="48"/>
      <c r="F42" s="49"/>
    </row>
    <row r="43" spans="3:14" outlineLevel="1" x14ac:dyDescent="0.45">
      <c r="C43" s="1" t="s">
        <v>208</v>
      </c>
      <c r="D43" s="115" t="s">
        <v>160</v>
      </c>
      <c r="E43" s="41">
        <f>E34-E32</f>
        <v>60</v>
      </c>
      <c r="F43" s="41">
        <f t="shared" ref="F43:G43" si="23">F34-F32</f>
        <v>67.5</v>
      </c>
      <c r="G43" s="41">
        <f t="shared" si="23"/>
        <v>75</v>
      </c>
      <c r="H43" s="1"/>
      <c r="I43" s="1"/>
      <c r="J43" s="1" t="s">
        <v>208</v>
      </c>
      <c r="K43" s="115" t="s">
        <v>160</v>
      </c>
      <c r="L43" s="41">
        <f>L34-L32</f>
        <v>60</v>
      </c>
      <c r="M43" s="41">
        <f t="shared" ref="M43:N43" si="24">M34-M32</f>
        <v>67.5</v>
      </c>
      <c r="N43" s="41">
        <f t="shared" si="24"/>
        <v>75</v>
      </c>
    </row>
    <row r="44" spans="3:14" outlineLevel="1" x14ac:dyDescent="0.45">
      <c r="C44" s="171" t="s">
        <v>209</v>
      </c>
      <c r="D44" s="126" t="s">
        <v>166</v>
      </c>
      <c r="E44" s="177">
        <f>E43/E$23</f>
        <v>0.15</v>
      </c>
      <c r="F44" s="177">
        <f t="shared" ref="F44" si="25">F43/F$23</f>
        <v>0.15</v>
      </c>
      <c r="G44" s="177">
        <f t="shared" ref="G44" si="26">G43/G$23</f>
        <v>0.15</v>
      </c>
      <c r="J44" s="171" t="s">
        <v>209</v>
      </c>
      <c r="K44" s="126" t="s">
        <v>166</v>
      </c>
      <c r="L44" s="177">
        <f>L43/L$23</f>
        <v>0.15</v>
      </c>
      <c r="M44" s="177">
        <f t="shared" ref="M44" si="27">M43/M$23</f>
        <v>0.15</v>
      </c>
      <c r="N44" s="177">
        <f t="shared" ref="N44" si="28">N43/N$23</f>
        <v>0.15</v>
      </c>
    </row>
    <row r="45" spans="3:14" x14ac:dyDescent="0.45">
      <c r="G45" s="173"/>
    </row>
    <row r="46" spans="3:14" x14ac:dyDescent="0.45">
      <c r="G46" s="173"/>
    </row>
  </sheetData>
  <conditionalFormatting sqref="L19">
    <cfRule type="cellIs" dxfId="5" priority="18" operator="notEqual">
      <formula>$E$19</formula>
    </cfRule>
  </conditionalFormatting>
  <conditionalFormatting sqref="L20">
    <cfRule type="cellIs" dxfId="4" priority="12" operator="notEqual">
      <formula>$E$20</formula>
    </cfRule>
  </conditionalFormatting>
  <conditionalFormatting sqref="M19">
    <cfRule type="cellIs" dxfId="3" priority="17" operator="notEqual">
      <formula>$F$19</formula>
    </cfRule>
  </conditionalFormatting>
  <conditionalFormatting sqref="M20">
    <cfRule type="cellIs" dxfId="2" priority="11" operator="notEqual">
      <formula>$F$20</formula>
    </cfRule>
  </conditionalFormatting>
  <conditionalFormatting sqref="N19">
    <cfRule type="cellIs" dxfId="1" priority="16" operator="notEqual">
      <formula>$G$19</formula>
    </cfRule>
  </conditionalFormatting>
  <conditionalFormatting sqref="N20">
    <cfRule type="cellIs" dxfId="0" priority="10" operator="notEqual">
      <formula>$G$20</formula>
    </cfRule>
  </conditionalFormatting>
  <pageMargins left="0.7" right="0.7" top="0.75" bottom="0.75" header="0.3" footer="0.3"/>
  <pageSetup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A983A-33B3-45FC-BE47-2DF66748B0D5}">
  <sheetPr>
    <pageSetUpPr autoPageBreaks="0"/>
  </sheetPr>
  <dimension ref="B2:P56"/>
  <sheetViews>
    <sheetView showGridLines="0" zoomScaleNormal="100" workbookViewId="0">
      <selection activeCell="B2" sqref="B2"/>
    </sheetView>
  </sheetViews>
  <sheetFormatPr defaultColWidth="8.84375" defaultRowHeight="15.9" outlineLevelRow="1" x14ac:dyDescent="0.45"/>
  <cols>
    <col min="1" max="2" width="2.69140625" style="89" customWidth="1"/>
    <col min="3" max="3" width="45.69140625" style="89" customWidth="1"/>
    <col min="4" max="4" width="12.69140625" style="90" customWidth="1"/>
    <col min="5" max="14" width="12.69140625" style="89" customWidth="1"/>
    <col min="15" max="16" width="2.69140625" style="89" customWidth="1"/>
    <col min="17" max="16384" width="8.84375" style="89"/>
  </cols>
  <sheetData>
    <row r="2" spans="2:16" ht="18.45" x14ac:dyDescent="0.5">
      <c r="B2" s="88" t="s">
        <v>214</v>
      </c>
    </row>
    <row r="3" spans="2:16" x14ac:dyDescent="0.45">
      <c r="B3" s="89" t="s">
        <v>135</v>
      </c>
    </row>
    <row r="5" spans="2:16" x14ac:dyDescent="0.45">
      <c r="B5" s="91"/>
      <c r="C5" s="91"/>
      <c r="D5" s="92"/>
      <c r="E5" s="91"/>
      <c r="F5" s="91"/>
      <c r="G5" s="91"/>
      <c r="H5" s="91"/>
      <c r="I5" s="91"/>
      <c r="J5" s="91"/>
      <c r="K5" s="91"/>
      <c r="L5" s="91"/>
      <c r="M5" s="91"/>
      <c r="N5" s="91"/>
      <c r="P5" s="138"/>
    </row>
    <row r="6" spans="2:16" x14ac:dyDescent="0.45">
      <c r="B6" s="93" t="s">
        <v>189</v>
      </c>
      <c r="C6" s="93"/>
      <c r="D6" s="94"/>
      <c r="E6" s="95"/>
      <c r="F6" s="95"/>
      <c r="G6" s="95"/>
      <c r="H6" s="95"/>
      <c r="I6" s="95"/>
      <c r="J6" s="95"/>
      <c r="K6" s="95"/>
      <c r="L6" s="95"/>
      <c r="M6" s="95"/>
      <c r="N6" s="95"/>
      <c r="P6" s="138"/>
    </row>
    <row r="7" spans="2:16" outlineLevel="1" x14ac:dyDescent="0.45"/>
    <row r="8" spans="2:16" outlineLevel="1" x14ac:dyDescent="0.45">
      <c r="C8" s="89" t="s">
        <v>137</v>
      </c>
      <c r="D8" s="126" t="s">
        <v>166</v>
      </c>
      <c r="E8" s="98">
        <v>0.25</v>
      </c>
      <c r="G8" s="100" t="s">
        <v>178</v>
      </c>
      <c r="H8" s="101"/>
      <c r="I8" s="101"/>
      <c r="J8" s="101"/>
      <c r="K8" s="101"/>
    </row>
    <row r="9" spans="2:16" outlineLevel="1" x14ac:dyDescent="0.45">
      <c r="C9" s="89" t="s">
        <v>138</v>
      </c>
      <c r="D9" s="115" t="s">
        <v>186</v>
      </c>
      <c r="E9" s="139">
        <f>COUNTA(E31:N31)</f>
        <v>10</v>
      </c>
      <c r="G9" s="90"/>
    </row>
    <row r="10" spans="2:16" outlineLevel="1" x14ac:dyDescent="0.45">
      <c r="E10" s="90"/>
      <c r="G10" s="99" t="s">
        <v>179</v>
      </c>
      <c r="H10" s="99"/>
      <c r="I10" s="99"/>
      <c r="J10" s="126" t="s">
        <v>166</v>
      </c>
      <c r="K10" s="128">
        <v>0.02</v>
      </c>
    </row>
    <row r="11" spans="2:16" outlineLevel="1" x14ac:dyDescent="0.45">
      <c r="C11" s="99" t="s">
        <v>139</v>
      </c>
      <c r="D11" s="126" t="s">
        <v>166</v>
      </c>
      <c r="E11" s="102">
        <v>4.1459999999999997E-2</v>
      </c>
      <c r="G11" s="99" t="s">
        <v>140</v>
      </c>
      <c r="H11" s="99"/>
      <c r="I11" s="99"/>
      <c r="J11" s="115" t="s">
        <v>160</v>
      </c>
      <c r="K11" s="153">
        <f>N51*(1+Terminal_Growth_Rate)/(Discount_Rate-Terminal_Growth_Rate)</f>
        <v>180397.45037339441</v>
      </c>
    </row>
    <row r="12" spans="2:16" outlineLevel="1" x14ac:dyDescent="0.45">
      <c r="C12" s="99" t="s">
        <v>141</v>
      </c>
      <c r="D12" s="126" t="s">
        <v>166</v>
      </c>
      <c r="E12" s="102">
        <v>4.4999999999999998E-2</v>
      </c>
      <c r="G12" s="99"/>
      <c r="K12" s="103"/>
    </row>
    <row r="13" spans="2:16" outlineLevel="1" x14ac:dyDescent="0.45">
      <c r="C13" s="99"/>
      <c r="E13" s="104"/>
      <c r="G13" s="106" t="s">
        <v>143</v>
      </c>
      <c r="H13" s="99"/>
      <c r="I13" s="99"/>
      <c r="J13" s="115" t="s">
        <v>160</v>
      </c>
      <c r="K13" s="154">
        <f>K11/((1+Discount_Rate)^Num_Years)</f>
        <v>83497.537156076476</v>
      </c>
    </row>
    <row r="14" spans="2:16" outlineLevel="1" x14ac:dyDescent="0.45">
      <c r="C14" s="99" t="s">
        <v>142</v>
      </c>
      <c r="D14" s="115" t="s">
        <v>185</v>
      </c>
      <c r="E14" s="105">
        <v>0.85</v>
      </c>
      <c r="G14" s="107" t="s">
        <v>144</v>
      </c>
      <c r="H14" s="108"/>
      <c r="I14" s="108"/>
      <c r="J14" s="131" t="s">
        <v>160</v>
      </c>
      <c r="K14" s="155">
        <f>NPV(Discount_Rate,E51:N51)</f>
        <v>70507.636073827511</v>
      </c>
    </row>
    <row r="15" spans="2:16" outlineLevel="1" x14ac:dyDescent="0.45">
      <c r="E15" s="90"/>
      <c r="G15" s="109" t="s">
        <v>145</v>
      </c>
      <c r="H15" s="99"/>
      <c r="I15" s="99"/>
      <c r="J15" s="115" t="s">
        <v>160</v>
      </c>
      <c r="K15" s="156">
        <f>SUM(K13:K14)</f>
        <v>154005.17322990397</v>
      </c>
    </row>
    <row r="16" spans="2:16" outlineLevel="1" x14ac:dyDescent="0.45">
      <c r="C16" s="99" t="s">
        <v>180</v>
      </c>
      <c r="D16" s="126" t="s">
        <v>166</v>
      </c>
      <c r="E16" s="98">
        <v>0.25</v>
      </c>
    </row>
    <row r="17" spans="2:14" outlineLevel="1" x14ac:dyDescent="0.45">
      <c r="C17" s="99" t="s">
        <v>181</v>
      </c>
      <c r="D17" s="126" t="s">
        <v>166</v>
      </c>
      <c r="E17" s="130">
        <f>E16/(1-E16)</f>
        <v>0.33333333333333331</v>
      </c>
      <c r="G17" s="132"/>
      <c r="H17" s="133"/>
      <c r="I17" s="134" t="s">
        <v>188</v>
      </c>
      <c r="J17" s="135"/>
      <c r="K17" s="135"/>
      <c r="L17" s="135"/>
      <c r="M17" s="136"/>
      <c r="N17" s="136"/>
    </row>
    <row r="18" spans="2:14" outlineLevel="1" x14ac:dyDescent="0.45">
      <c r="C18" s="99" t="s">
        <v>182</v>
      </c>
      <c r="D18" s="115" t="s">
        <v>185</v>
      </c>
      <c r="E18" s="96">
        <f>Unlevered_Beta*(1+E17*(1-Tax_Rate))</f>
        <v>1.0625</v>
      </c>
      <c r="G18" s="137"/>
      <c r="H18" s="143">
        <f>$K$15</f>
        <v>154005.17322990397</v>
      </c>
      <c r="I18" s="141">
        <v>0.1</v>
      </c>
      <c r="J18" s="140">
        <f>I18+1%</f>
        <v>0.11</v>
      </c>
      <c r="K18" s="147">
        <f t="shared" ref="K18:M18" si="0">J18+1%</f>
        <v>0.12</v>
      </c>
      <c r="L18" s="140">
        <f t="shared" si="0"/>
        <v>0.13</v>
      </c>
      <c r="M18" s="140">
        <f t="shared" si="0"/>
        <v>0.14000000000000001</v>
      </c>
      <c r="N18" s="142">
        <f t="shared" ref="N18" si="1">M18+1%</f>
        <v>0.15000000000000002</v>
      </c>
    </row>
    <row r="19" spans="2:14" outlineLevel="1" x14ac:dyDescent="0.45">
      <c r="C19" s="99" t="s">
        <v>187</v>
      </c>
      <c r="D19" s="126" t="s">
        <v>166</v>
      </c>
      <c r="E19" s="130">
        <f>Risk_Free_Rate+Equity_Risk_Premium*E18</f>
        <v>8.9272500000000005E-2</v>
      </c>
      <c r="G19" s="183" t="s">
        <v>175</v>
      </c>
      <c r="H19" s="144">
        <v>0.13</v>
      </c>
      <c r="I19" s="149">
        <f t="dataTable" ref="I19:N24" dt2D="1" dtr="1" r1="E26" r2="E27"/>
        <v>169343.89135211619</v>
      </c>
      <c r="J19" s="149">
        <v>171900.34437248489</v>
      </c>
      <c r="K19" s="150">
        <v>174456.79739285359</v>
      </c>
      <c r="L19" s="149">
        <v>177013.2504132223</v>
      </c>
      <c r="M19" s="149">
        <v>179569.703433591</v>
      </c>
      <c r="N19" s="149">
        <v>182126.1564539597</v>
      </c>
    </row>
    <row r="20" spans="2:14" outlineLevel="1" x14ac:dyDescent="0.45">
      <c r="C20" s="99"/>
      <c r="E20" s="129"/>
      <c r="G20" s="184"/>
      <c r="H20" s="145">
        <f>H19+1%</f>
        <v>0.14000000000000001</v>
      </c>
      <c r="I20" s="151">
        <v>159118.07927064138</v>
      </c>
      <c r="J20" s="151">
        <v>161674.53229101008</v>
      </c>
      <c r="K20" s="152">
        <v>164230.98531137878</v>
      </c>
      <c r="L20" s="151">
        <v>166787.43833174749</v>
      </c>
      <c r="M20" s="151">
        <v>169343.89135211619</v>
      </c>
      <c r="N20" s="151">
        <v>171900.34437248486</v>
      </c>
    </row>
    <row r="21" spans="2:14" outlineLevel="1" x14ac:dyDescent="0.45">
      <c r="C21" s="99" t="s">
        <v>183</v>
      </c>
      <c r="D21" s="126" t="s">
        <v>166</v>
      </c>
      <c r="E21" s="98">
        <v>7.0000000000000007E-2</v>
      </c>
      <c r="G21" s="184"/>
      <c r="H21" s="148">
        <f t="shared" ref="H21:H24" si="2">H20+1%</f>
        <v>0.15000000000000002</v>
      </c>
      <c r="I21" s="152">
        <v>148892.26718916657</v>
      </c>
      <c r="J21" s="152">
        <v>151448.72020953527</v>
      </c>
      <c r="K21" s="152">
        <v>154005.17322990397</v>
      </c>
      <c r="L21" s="152">
        <v>156561.62625027267</v>
      </c>
      <c r="M21" s="152">
        <v>159118.07927064135</v>
      </c>
      <c r="N21" s="152">
        <v>161674.53229101008</v>
      </c>
    </row>
    <row r="22" spans="2:14" outlineLevel="1" x14ac:dyDescent="0.45">
      <c r="C22" s="99" t="s">
        <v>184</v>
      </c>
      <c r="D22" s="126" t="s">
        <v>166</v>
      </c>
      <c r="E22" s="130">
        <f>E21*(1-Tax_Rate)</f>
        <v>5.2500000000000005E-2</v>
      </c>
      <c r="G22" s="184"/>
      <c r="H22" s="145">
        <f t="shared" si="2"/>
        <v>0.16000000000000003</v>
      </c>
      <c r="I22" s="151">
        <v>138666.45510769176</v>
      </c>
      <c r="J22" s="151">
        <v>141222.90812806046</v>
      </c>
      <c r="K22" s="152">
        <v>143779.36114842916</v>
      </c>
      <c r="L22" s="151">
        <v>146335.81416879784</v>
      </c>
      <c r="M22" s="151">
        <v>148892.26718916657</v>
      </c>
      <c r="N22" s="151">
        <v>151448.72020953527</v>
      </c>
    </row>
    <row r="23" spans="2:14" outlineLevel="1" x14ac:dyDescent="0.45">
      <c r="C23" s="99"/>
      <c r="E23" s="129"/>
      <c r="G23" s="184"/>
      <c r="H23" s="145">
        <f t="shared" si="2"/>
        <v>0.17000000000000004</v>
      </c>
      <c r="I23" s="151">
        <v>128440.64302621692</v>
      </c>
      <c r="J23" s="151">
        <v>130997.09604658562</v>
      </c>
      <c r="K23" s="152">
        <v>133553.54906695432</v>
      </c>
      <c r="L23" s="151">
        <v>136110.00208732302</v>
      </c>
      <c r="M23" s="151">
        <v>138666.45510769173</v>
      </c>
      <c r="N23" s="151">
        <v>141222.9081280604</v>
      </c>
    </row>
    <row r="24" spans="2:14" outlineLevel="1" x14ac:dyDescent="0.45">
      <c r="C24" s="99" t="s">
        <v>146</v>
      </c>
      <c r="D24" s="126" t="s">
        <v>166</v>
      </c>
      <c r="E24" s="130">
        <f>(1-E16)*E19+E16*E22</f>
        <v>8.0079375000000008E-2</v>
      </c>
      <c r="F24" s="99"/>
      <c r="G24" s="185"/>
      <c r="H24" s="146">
        <f t="shared" si="2"/>
        <v>0.18000000000000005</v>
      </c>
      <c r="I24" s="151">
        <v>118214.83094474211</v>
      </c>
      <c r="J24" s="151">
        <v>120771.28396511079</v>
      </c>
      <c r="K24" s="152">
        <v>123327.73698547951</v>
      </c>
      <c r="L24" s="151">
        <v>125884.19000584818</v>
      </c>
      <c r="M24" s="151">
        <v>128440.64302621692</v>
      </c>
      <c r="N24" s="151">
        <v>130997.09604658562</v>
      </c>
    </row>
    <row r="25" spans="2:14" outlineLevel="1" x14ac:dyDescent="0.45">
      <c r="D25" s="89"/>
      <c r="E25" s="90"/>
      <c r="F25" s="99"/>
      <c r="H25" s="99"/>
    </row>
    <row r="26" spans="2:14" outlineLevel="1" x14ac:dyDescent="0.45">
      <c r="C26" s="89" t="s">
        <v>174</v>
      </c>
      <c r="D26" s="126" t="s">
        <v>166</v>
      </c>
      <c r="E26" s="98">
        <v>0.12</v>
      </c>
      <c r="F26" s="99"/>
      <c r="H26" s="99"/>
    </row>
    <row r="27" spans="2:14" outlineLevel="1" x14ac:dyDescent="0.45">
      <c r="C27" s="89" t="s">
        <v>175</v>
      </c>
      <c r="D27" s="126" t="s">
        <v>166</v>
      </c>
      <c r="E27" s="98">
        <v>0.15</v>
      </c>
      <c r="F27" s="99"/>
      <c r="H27" s="99"/>
    </row>
    <row r="28" spans="2:14" outlineLevel="1" x14ac:dyDescent="0.45">
      <c r="C28" s="89" t="s">
        <v>176</v>
      </c>
      <c r="D28" s="126" t="s">
        <v>166</v>
      </c>
      <c r="E28" s="98">
        <v>-0.1</v>
      </c>
      <c r="G28" s="99"/>
      <c r="J28" s="99"/>
    </row>
    <row r="29" spans="2:14" x14ac:dyDescent="0.45">
      <c r="E29" s="99"/>
      <c r="G29" s="99"/>
      <c r="J29" s="99"/>
    </row>
    <row r="30" spans="2:14" x14ac:dyDescent="0.45">
      <c r="B30" s="91"/>
      <c r="C30" s="91"/>
      <c r="D30" s="92"/>
      <c r="E30" s="110" t="s">
        <v>147</v>
      </c>
      <c r="F30" s="110"/>
      <c r="G30" s="110"/>
      <c r="H30" s="110"/>
      <c r="I30" s="110"/>
      <c r="J30" s="111"/>
      <c r="K30" s="111"/>
      <c r="L30" s="111"/>
      <c r="M30" s="111"/>
      <c r="N30" s="111"/>
    </row>
    <row r="31" spans="2:14" x14ac:dyDescent="0.45">
      <c r="B31" s="93" t="s">
        <v>148</v>
      </c>
      <c r="C31" s="93"/>
      <c r="D31" s="112" t="s">
        <v>149</v>
      </c>
      <c r="E31" s="113" t="s">
        <v>150</v>
      </c>
      <c r="F31" s="113" t="s">
        <v>151</v>
      </c>
      <c r="G31" s="113" t="s">
        <v>152</v>
      </c>
      <c r="H31" s="113" t="s">
        <v>153</v>
      </c>
      <c r="I31" s="113" t="s">
        <v>154</v>
      </c>
      <c r="J31" s="113" t="s">
        <v>155</v>
      </c>
      <c r="K31" s="113" t="s">
        <v>156</v>
      </c>
      <c r="L31" s="113" t="s">
        <v>157</v>
      </c>
      <c r="M31" s="113" t="s">
        <v>158</v>
      </c>
      <c r="N31" s="113" t="s">
        <v>159</v>
      </c>
    </row>
    <row r="32" spans="2:14" outlineLevel="1" x14ac:dyDescent="0.45">
      <c r="F32" s="153"/>
    </row>
    <row r="33" spans="3:14" outlineLevel="1" x14ac:dyDescent="0.45">
      <c r="C33" s="114" t="s">
        <v>25</v>
      </c>
      <c r="D33" s="115" t="s">
        <v>160</v>
      </c>
      <c r="E33" s="157">
        <v>52198.257160304878</v>
      </c>
      <c r="F33" s="158">
        <f>E33*(1+F34)</f>
        <v>54991.135549578175</v>
      </c>
      <c r="G33" s="158">
        <f t="shared" ref="G33:N33" si="3">F33*(1+G34)</f>
        <v>59238.202886484309</v>
      </c>
      <c r="H33" s="158">
        <f t="shared" si="3"/>
        <v>61525.55608996794</v>
      </c>
      <c r="I33" s="158">
        <f t="shared" si="3"/>
        <v>64094.31143325258</v>
      </c>
      <c r="J33" s="158">
        <f t="shared" si="3"/>
        <v>66658.083890582682</v>
      </c>
      <c r="K33" s="158">
        <f t="shared" si="3"/>
        <v>69124.432994534232</v>
      </c>
      <c r="L33" s="158">
        <f t="shared" si="3"/>
        <v>71543.78814934293</v>
      </c>
      <c r="M33" s="158">
        <f t="shared" si="3"/>
        <v>73904.733158271236</v>
      </c>
      <c r="N33" s="158">
        <f t="shared" si="3"/>
        <v>76121.875153019369</v>
      </c>
    </row>
    <row r="34" spans="3:14" outlineLevel="1" x14ac:dyDescent="0.45">
      <c r="C34" s="125" t="s">
        <v>169</v>
      </c>
      <c r="D34" s="126" t="s">
        <v>166</v>
      </c>
      <c r="E34" s="117"/>
      <c r="F34" s="127">
        <v>5.3505203836521797E-2</v>
      </c>
      <c r="G34" s="127">
        <v>7.7231853724444743E-2</v>
      </c>
      <c r="H34" s="127">
        <v>3.8612805453716925E-2</v>
      </c>
      <c r="I34" s="127">
        <v>4.1751030084610452E-2</v>
      </c>
      <c r="J34" s="127">
        <v>0.04</v>
      </c>
      <c r="K34" s="127">
        <v>3.6999999999999998E-2</v>
      </c>
      <c r="L34" s="127">
        <v>3.5000000000000003E-2</v>
      </c>
      <c r="M34" s="127">
        <v>3.3000000000000002E-2</v>
      </c>
      <c r="N34" s="127">
        <v>0.03</v>
      </c>
    </row>
    <row r="35" spans="3:14" outlineLevel="1" x14ac:dyDescent="0.45">
      <c r="C35" s="116"/>
      <c r="E35" s="117"/>
      <c r="F35" s="117"/>
      <c r="G35" s="117"/>
      <c r="H35" s="117"/>
      <c r="I35" s="117"/>
      <c r="J35" s="117"/>
      <c r="K35" s="117"/>
      <c r="L35" s="117"/>
      <c r="M35" s="117"/>
      <c r="N35" s="117"/>
    </row>
    <row r="36" spans="3:14" outlineLevel="1" x14ac:dyDescent="0.45">
      <c r="C36" s="125" t="s">
        <v>126</v>
      </c>
      <c r="D36" s="115" t="s">
        <v>160</v>
      </c>
      <c r="E36" s="159">
        <f>-E37*E$33</f>
        <v>-28709.041438167686</v>
      </c>
      <c r="F36" s="159">
        <f t="shared" ref="F36:N36" si="4">-F37*F$33</f>
        <v>-31344.947263259557</v>
      </c>
      <c r="G36" s="159">
        <f t="shared" si="4"/>
        <v>-34950.539703025737</v>
      </c>
      <c r="H36" s="159">
        <f t="shared" si="4"/>
        <v>-37530.589214880441</v>
      </c>
      <c r="I36" s="159">
        <f t="shared" si="4"/>
        <v>-39738.4730886166</v>
      </c>
      <c r="J36" s="159">
        <f t="shared" si="4"/>
        <v>-41994.592851067093</v>
      </c>
      <c r="K36" s="159">
        <f t="shared" si="4"/>
        <v>-44239.637116501908</v>
      </c>
      <c r="L36" s="159">
        <f t="shared" si="4"/>
        <v>-46503.462297072903</v>
      </c>
      <c r="M36" s="159">
        <f t="shared" si="4"/>
        <v>-48038.076552876308</v>
      </c>
      <c r="N36" s="159">
        <f t="shared" si="4"/>
        <v>-49479.218849462595</v>
      </c>
    </row>
    <row r="37" spans="3:14" outlineLevel="1" x14ac:dyDescent="0.45">
      <c r="C37" s="106" t="s">
        <v>170</v>
      </c>
      <c r="D37" s="126" t="s">
        <v>166</v>
      </c>
      <c r="E37" s="127">
        <v>0.55000000000000004</v>
      </c>
      <c r="F37" s="127">
        <v>0.56999999999999995</v>
      </c>
      <c r="G37" s="127">
        <v>0.59</v>
      </c>
      <c r="H37" s="127">
        <v>0.61</v>
      </c>
      <c r="I37" s="127">
        <v>0.62</v>
      </c>
      <c r="J37" s="127">
        <v>0.63</v>
      </c>
      <c r="K37" s="127">
        <v>0.64</v>
      </c>
      <c r="L37" s="127">
        <v>0.65</v>
      </c>
      <c r="M37" s="127">
        <v>0.65</v>
      </c>
      <c r="N37" s="127">
        <v>0.65</v>
      </c>
    </row>
    <row r="38" spans="3:14" outlineLevel="1" x14ac:dyDescent="0.45">
      <c r="C38" s="116"/>
      <c r="E38" s="117"/>
      <c r="F38" s="117"/>
      <c r="G38" s="117"/>
      <c r="H38" s="117"/>
      <c r="I38" s="117"/>
      <c r="J38" s="117"/>
      <c r="K38" s="117"/>
      <c r="L38" s="117"/>
      <c r="M38" s="117"/>
      <c r="N38" s="117"/>
    </row>
    <row r="39" spans="3:14" outlineLevel="1" x14ac:dyDescent="0.45">
      <c r="C39" s="125" t="s">
        <v>171</v>
      </c>
      <c r="D39" s="115" t="s">
        <v>160</v>
      </c>
      <c r="E39" s="159">
        <f>-E$33*$E$26</f>
        <v>-6263.7908592365848</v>
      </c>
      <c r="F39" s="159">
        <f t="shared" ref="F39:N39" si="5">-F$33*$E$26</f>
        <v>-6598.9362659493809</v>
      </c>
      <c r="G39" s="159">
        <f t="shared" si="5"/>
        <v>-7108.5843463781166</v>
      </c>
      <c r="H39" s="159">
        <f t="shared" si="5"/>
        <v>-7383.0667307961521</v>
      </c>
      <c r="I39" s="159">
        <f t="shared" si="5"/>
        <v>-7691.3173719903098</v>
      </c>
      <c r="J39" s="159">
        <f t="shared" si="5"/>
        <v>-7998.9700668699215</v>
      </c>
      <c r="K39" s="159">
        <f t="shared" si="5"/>
        <v>-8294.9319593441069</v>
      </c>
      <c r="L39" s="159">
        <f t="shared" si="5"/>
        <v>-8585.2545779211505</v>
      </c>
      <c r="M39" s="159">
        <f t="shared" si="5"/>
        <v>-8868.5679789925471</v>
      </c>
      <c r="N39" s="159">
        <f t="shared" si="5"/>
        <v>-9134.6250183623233</v>
      </c>
    </row>
    <row r="40" spans="3:14" outlineLevel="1" x14ac:dyDescent="0.45">
      <c r="C40" s="116"/>
      <c r="E40" s="117"/>
      <c r="F40" s="117"/>
      <c r="G40" s="117"/>
      <c r="H40" s="117"/>
      <c r="I40" s="117"/>
      <c r="J40" s="117"/>
      <c r="K40" s="117"/>
      <c r="L40" s="117"/>
      <c r="M40" s="117"/>
      <c r="N40" s="117"/>
    </row>
    <row r="41" spans="3:14" outlineLevel="1" x14ac:dyDescent="0.45">
      <c r="C41" s="97" t="s">
        <v>161</v>
      </c>
      <c r="D41" s="115" t="s">
        <v>160</v>
      </c>
      <c r="E41" s="159">
        <f>E33+E36+E39</f>
        <v>17225.424862900607</v>
      </c>
      <c r="F41" s="159">
        <f t="shared" ref="F41:N41" si="6">F33+F36+F39</f>
        <v>17047.252020369237</v>
      </c>
      <c r="G41" s="159">
        <f t="shared" si="6"/>
        <v>17179.078837080455</v>
      </c>
      <c r="H41" s="159">
        <f t="shared" si="6"/>
        <v>16611.900144291347</v>
      </c>
      <c r="I41" s="159">
        <f t="shared" si="6"/>
        <v>16664.520972645671</v>
      </c>
      <c r="J41" s="159">
        <f t="shared" si="6"/>
        <v>16664.520972645667</v>
      </c>
      <c r="K41" s="159">
        <f t="shared" si="6"/>
        <v>16589.863918688217</v>
      </c>
      <c r="L41" s="159">
        <f t="shared" si="6"/>
        <v>16455.071274348877</v>
      </c>
      <c r="M41" s="159">
        <f t="shared" si="6"/>
        <v>16998.088626402379</v>
      </c>
      <c r="N41" s="159">
        <f t="shared" si="6"/>
        <v>17508.031285194451</v>
      </c>
    </row>
    <row r="42" spans="3:14" outlineLevel="1" x14ac:dyDescent="0.45">
      <c r="C42" s="97"/>
      <c r="E42" s="118"/>
      <c r="F42" s="118"/>
      <c r="G42" s="118"/>
      <c r="H42" s="118"/>
      <c r="I42" s="118"/>
      <c r="J42" s="118"/>
      <c r="K42" s="118"/>
      <c r="L42" s="118"/>
      <c r="M42" s="118"/>
      <c r="N42" s="118"/>
    </row>
    <row r="43" spans="3:14" outlineLevel="1" x14ac:dyDescent="0.45">
      <c r="C43" s="125" t="s">
        <v>162</v>
      </c>
      <c r="D43" s="115" t="s">
        <v>160</v>
      </c>
      <c r="E43" s="160">
        <f t="shared" ref="E43:N43" si="7">-E41*Tax_Rate</f>
        <v>-4306.3562157251517</v>
      </c>
      <c r="F43" s="160">
        <f t="shared" si="7"/>
        <v>-4261.8130050923091</v>
      </c>
      <c r="G43" s="160">
        <f t="shared" si="7"/>
        <v>-4294.7697092701137</v>
      </c>
      <c r="H43" s="160">
        <f t="shared" si="7"/>
        <v>-4152.9750360728367</v>
      </c>
      <c r="I43" s="160">
        <f t="shared" si="7"/>
        <v>-4166.1302431614176</v>
      </c>
      <c r="J43" s="160">
        <f t="shared" si="7"/>
        <v>-4166.1302431614167</v>
      </c>
      <c r="K43" s="160">
        <f t="shared" si="7"/>
        <v>-4147.4659796720543</v>
      </c>
      <c r="L43" s="160">
        <f t="shared" si="7"/>
        <v>-4113.7678185872192</v>
      </c>
      <c r="M43" s="160">
        <f t="shared" si="7"/>
        <v>-4249.5221566005948</v>
      </c>
      <c r="N43" s="160">
        <f t="shared" si="7"/>
        <v>-4377.0078212986127</v>
      </c>
    </row>
    <row r="44" spans="3:14" outlineLevel="1" x14ac:dyDescent="0.45">
      <c r="C44" s="97"/>
      <c r="E44" s="119"/>
      <c r="F44" s="119"/>
      <c r="G44" s="119"/>
      <c r="H44" s="119"/>
      <c r="I44" s="119"/>
      <c r="J44" s="119"/>
      <c r="K44" s="119"/>
      <c r="L44" s="119"/>
      <c r="M44" s="119"/>
      <c r="N44" s="119"/>
    </row>
    <row r="45" spans="3:14" outlineLevel="1" x14ac:dyDescent="0.45">
      <c r="C45" s="114" t="s">
        <v>163</v>
      </c>
      <c r="D45" s="115" t="s">
        <v>160</v>
      </c>
      <c r="E45" s="161">
        <f t="shared" ref="E45:N45" si="8">E41+E43</f>
        <v>12919.068647175456</v>
      </c>
      <c r="F45" s="161">
        <f t="shared" si="8"/>
        <v>12785.439015276927</v>
      </c>
      <c r="G45" s="161">
        <f t="shared" si="8"/>
        <v>12884.309127810342</v>
      </c>
      <c r="H45" s="161">
        <f t="shared" si="8"/>
        <v>12458.925108218511</v>
      </c>
      <c r="I45" s="161">
        <f t="shared" si="8"/>
        <v>12498.390729484254</v>
      </c>
      <c r="J45" s="161">
        <f t="shared" si="8"/>
        <v>12498.39072948425</v>
      </c>
      <c r="K45" s="161">
        <f t="shared" si="8"/>
        <v>12442.397939016162</v>
      </c>
      <c r="L45" s="161">
        <f t="shared" si="8"/>
        <v>12341.303455761657</v>
      </c>
      <c r="M45" s="161">
        <f t="shared" si="8"/>
        <v>12748.566469801784</v>
      </c>
      <c r="N45" s="161">
        <f t="shared" si="8"/>
        <v>13131.023463895839</v>
      </c>
    </row>
    <row r="46" spans="3:14" outlineLevel="1" x14ac:dyDescent="0.45">
      <c r="C46" s="97"/>
      <c r="E46" s="90"/>
      <c r="F46" s="90"/>
      <c r="G46" s="90"/>
      <c r="H46" s="90"/>
      <c r="I46" s="90"/>
      <c r="J46" s="90"/>
      <c r="K46" s="90"/>
      <c r="L46" s="90"/>
      <c r="M46" s="90"/>
      <c r="N46" s="90"/>
    </row>
    <row r="47" spans="3:14" outlineLevel="1" x14ac:dyDescent="0.45">
      <c r="C47" s="125" t="s">
        <v>172</v>
      </c>
      <c r="D47" s="115" t="s">
        <v>160</v>
      </c>
      <c r="E47" s="160">
        <f>-E39</f>
        <v>6263.7908592365848</v>
      </c>
      <c r="F47" s="160">
        <f t="shared" ref="F47:N47" si="9">-F39</f>
        <v>6598.9362659493809</v>
      </c>
      <c r="G47" s="160">
        <f t="shared" si="9"/>
        <v>7108.5843463781166</v>
      </c>
      <c r="H47" s="160">
        <f t="shared" si="9"/>
        <v>7383.0667307961521</v>
      </c>
      <c r="I47" s="160">
        <f t="shared" si="9"/>
        <v>7691.3173719903098</v>
      </c>
      <c r="J47" s="160">
        <f t="shared" si="9"/>
        <v>7998.9700668699215</v>
      </c>
      <c r="K47" s="160">
        <f t="shared" si="9"/>
        <v>8294.9319593441069</v>
      </c>
      <c r="L47" s="160">
        <f t="shared" si="9"/>
        <v>8585.2545779211505</v>
      </c>
      <c r="M47" s="160">
        <f t="shared" si="9"/>
        <v>8868.5679789925471</v>
      </c>
      <c r="N47" s="160">
        <f t="shared" si="9"/>
        <v>9134.6250183623233</v>
      </c>
    </row>
    <row r="48" spans="3:14" outlineLevel="1" x14ac:dyDescent="0.45">
      <c r="C48" s="125" t="s">
        <v>173</v>
      </c>
      <c r="D48" s="115" t="s">
        <v>160</v>
      </c>
      <c r="E48" s="162">
        <v>-251.3</v>
      </c>
      <c r="F48" s="160">
        <f>(F33-E33)*$E$28</f>
        <v>-279.28783892732974</v>
      </c>
      <c r="G48" s="160">
        <f t="shared" ref="G48:N48" si="10">(G33-F33)*$E$28</f>
        <v>-424.70673369061336</v>
      </c>
      <c r="H48" s="160">
        <f t="shared" si="10"/>
        <v>-228.73532034836319</v>
      </c>
      <c r="I48" s="160">
        <f t="shared" si="10"/>
        <v>-256.87553432846397</v>
      </c>
      <c r="J48" s="160">
        <f t="shared" si="10"/>
        <v>-256.37724573301023</v>
      </c>
      <c r="K48" s="160">
        <f t="shared" si="10"/>
        <v>-246.63491039515503</v>
      </c>
      <c r="L48" s="160">
        <f t="shared" si="10"/>
        <v>-241.93551548086981</v>
      </c>
      <c r="M48" s="160">
        <f t="shared" si="10"/>
        <v>-236.09450089283055</v>
      </c>
      <c r="N48" s="160">
        <f t="shared" si="10"/>
        <v>-221.71419947481337</v>
      </c>
    </row>
    <row r="49" spans="3:14" outlineLevel="1" x14ac:dyDescent="0.45">
      <c r="C49" s="125" t="s">
        <v>73</v>
      </c>
      <c r="D49" s="115" t="s">
        <v>160</v>
      </c>
      <c r="E49" s="160">
        <f>-E33*$E$27</f>
        <v>-7829.7385740457312</v>
      </c>
      <c r="F49" s="160">
        <f t="shared" ref="F49:N49" si="11">-F33*$E$27</f>
        <v>-8248.6703324367263</v>
      </c>
      <c r="G49" s="160">
        <f t="shared" si="11"/>
        <v>-8885.7304329726467</v>
      </c>
      <c r="H49" s="160">
        <f t="shared" si="11"/>
        <v>-9228.8334134951911</v>
      </c>
      <c r="I49" s="160">
        <f t="shared" si="11"/>
        <v>-9614.1467149878863</v>
      </c>
      <c r="J49" s="160">
        <f t="shared" si="11"/>
        <v>-9998.7125835874012</v>
      </c>
      <c r="K49" s="160">
        <f t="shared" si="11"/>
        <v>-10368.664949180134</v>
      </c>
      <c r="L49" s="160">
        <f t="shared" si="11"/>
        <v>-10731.56822240144</v>
      </c>
      <c r="M49" s="160">
        <f t="shared" si="11"/>
        <v>-11085.709973740684</v>
      </c>
      <c r="N49" s="160">
        <f t="shared" si="11"/>
        <v>-11418.281272952905</v>
      </c>
    </row>
    <row r="50" spans="3:14" outlineLevel="1" x14ac:dyDescent="0.45">
      <c r="C50" s="97"/>
      <c r="E50" s="119"/>
      <c r="F50" s="119"/>
      <c r="G50" s="119"/>
      <c r="H50" s="119"/>
      <c r="I50" s="119"/>
      <c r="J50" s="119"/>
      <c r="K50" s="119"/>
      <c r="L50" s="119"/>
      <c r="M50" s="119"/>
      <c r="N50" s="119"/>
    </row>
    <row r="51" spans="3:14" outlineLevel="1" x14ac:dyDescent="0.45">
      <c r="C51" s="120" t="s">
        <v>164</v>
      </c>
      <c r="D51" s="121" t="s">
        <v>160</v>
      </c>
      <c r="E51" s="163">
        <f>E45+SUM(E47:E49)</f>
        <v>11101.82093236631</v>
      </c>
      <c r="F51" s="163">
        <f t="shared" ref="F51:N51" si="12">F45+SUM(F47:F49)</f>
        <v>10856.41710986225</v>
      </c>
      <c r="G51" s="163">
        <f t="shared" si="12"/>
        <v>10682.456307525199</v>
      </c>
      <c r="H51" s="163">
        <f t="shared" si="12"/>
        <v>10384.423105171109</v>
      </c>
      <c r="I51" s="163">
        <f t="shared" si="12"/>
        <v>10318.685852158214</v>
      </c>
      <c r="J51" s="163">
        <f t="shared" si="12"/>
        <v>10242.270967033761</v>
      </c>
      <c r="K51" s="163">
        <f t="shared" si="12"/>
        <v>10122.030038784978</v>
      </c>
      <c r="L51" s="163">
        <f t="shared" si="12"/>
        <v>9953.0542958004989</v>
      </c>
      <c r="M51" s="163">
        <f t="shared" si="12"/>
        <v>10295.329974160817</v>
      </c>
      <c r="N51" s="163">
        <f t="shared" si="12"/>
        <v>10625.653009830445</v>
      </c>
    </row>
    <row r="52" spans="3:14" outlineLevel="1" x14ac:dyDescent="0.45">
      <c r="C52" s="116" t="s">
        <v>165</v>
      </c>
      <c r="D52" s="115" t="s">
        <v>166</v>
      </c>
      <c r="E52" s="117" t="str">
        <f>IFERROR(E51/D51-1,"N/A")</f>
        <v>N/A</v>
      </c>
      <c r="F52" s="117">
        <f>IFERROR(F51/E51-1,"N/A")</f>
        <v>-2.2104826226174157E-2</v>
      </c>
      <c r="G52" s="117">
        <f t="shared" ref="G52" si="13">IFERROR(G51/F51-1,"N/A")</f>
        <v>-1.6023776590070482E-2</v>
      </c>
      <c r="H52" s="117">
        <f t="shared" ref="H52" si="14">IFERROR(H51/G51-1,"N/A")</f>
        <v>-2.7899313956860516E-2</v>
      </c>
      <c r="I52" s="117">
        <f t="shared" ref="I52" si="15">IFERROR(I51/H51-1,"N/A")</f>
        <v>-6.3303712057108941E-3</v>
      </c>
      <c r="J52" s="117">
        <f t="shared" ref="J52" si="16">IFERROR(J51/I51-1,"N/A")</f>
        <v>-7.4054861461327892E-3</v>
      </c>
      <c r="K52" s="117">
        <f t="shared" ref="K52" si="17">IFERROR(K51/J51-1,"N/A")</f>
        <v>-1.1739674593241656E-2</v>
      </c>
      <c r="L52" s="117">
        <f t="shared" ref="L52" si="18">IFERROR(L51/K51-1,"N/A")</f>
        <v>-1.6693859071451933E-2</v>
      </c>
      <c r="M52" s="117">
        <f t="shared" ref="M52" si="19">IFERROR(M51/L51-1,"N/A")</f>
        <v>3.4389009462626463E-2</v>
      </c>
      <c r="N52" s="117">
        <f t="shared" ref="N52" si="20">IFERROR(N51/M51-1,"N/A")</f>
        <v>3.2084744879345317E-2</v>
      </c>
    </row>
    <row r="53" spans="3:14" outlineLevel="1" x14ac:dyDescent="0.45">
      <c r="D53" s="89"/>
    </row>
    <row r="54" spans="3:14" outlineLevel="1" x14ac:dyDescent="0.45">
      <c r="C54" s="122" t="s">
        <v>167</v>
      </c>
      <c r="D54" s="123" t="s">
        <v>160</v>
      </c>
      <c r="E54" s="164">
        <f>E41+E47</f>
        <v>23489.215722137193</v>
      </c>
      <c r="F54" s="164">
        <f t="shared" ref="F54:N54" si="21">F41+F47</f>
        <v>23646.188286318618</v>
      </c>
      <c r="G54" s="164">
        <f t="shared" si="21"/>
        <v>24287.663183458571</v>
      </c>
      <c r="H54" s="164">
        <f t="shared" si="21"/>
        <v>23994.966875087499</v>
      </c>
      <c r="I54" s="164">
        <f t="shared" si="21"/>
        <v>24355.83834463598</v>
      </c>
      <c r="J54" s="164">
        <f t="shared" si="21"/>
        <v>24663.491039515589</v>
      </c>
      <c r="K54" s="164">
        <f t="shared" si="21"/>
        <v>24884.795878032324</v>
      </c>
      <c r="L54" s="164">
        <f t="shared" si="21"/>
        <v>25040.325852270027</v>
      </c>
      <c r="M54" s="164">
        <f t="shared" si="21"/>
        <v>25866.656605394928</v>
      </c>
      <c r="N54" s="164">
        <f t="shared" si="21"/>
        <v>26642.656303556774</v>
      </c>
    </row>
    <row r="55" spans="3:14" outlineLevel="1" x14ac:dyDescent="0.45">
      <c r="C55" s="124" t="s">
        <v>168</v>
      </c>
      <c r="D55" s="115" t="s">
        <v>166</v>
      </c>
      <c r="E55" s="117" t="str">
        <f>IFERROR(E54/D54-1,"N/A")</f>
        <v>N/A</v>
      </c>
      <c r="F55" s="117">
        <f>IFERROR(F54/E54-1,"N/A")</f>
        <v>6.6827503326767346E-3</v>
      </c>
      <c r="G55" s="117">
        <f t="shared" ref="G55:N55" si="22">IFERROR(G54/F54-1,"N/A")</f>
        <v>2.7128046574470543E-2</v>
      </c>
      <c r="H55" s="117">
        <f t="shared" si="22"/>
        <v>-1.2051233836708364E-2</v>
      </c>
      <c r="I55" s="117">
        <f t="shared" si="22"/>
        <v>1.503946521064603E-2</v>
      </c>
      <c r="J55" s="117">
        <f t="shared" si="22"/>
        <v>1.2631578947368327E-2</v>
      </c>
      <c r="K55" s="117">
        <f t="shared" si="22"/>
        <v>8.972972972973059E-3</v>
      </c>
      <c r="L55" s="117">
        <f t="shared" si="22"/>
        <v>6.2500000000000888E-3</v>
      </c>
      <c r="M55" s="117">
        <f t="shared" si="22"/>
        <v>3.2999999999999696E-2</v>
      </c>
      <c r="N55" s="117">
        <f t="shared" si="22"/>
        <v>3.0000000000000027E-2</v>
      </c>
    </row>
    <row r="56" spans="3:14" outlineLevel="1" x14ac:dyDescent="0.45">
      <c r="C56" s="124" t="s">
        <v>177</v>
      </c>
      <c r="D56" s="115" t="s">
        <v>166</v>
      </c>
      <c r="E56" s="117">
        <f>IFERROR(E54/E33, "N/A")</f>
        <v>0.44999999999999996</v>
      </c>
      <c r="F56" s="117">
        <f t="shared" ref="F56:N56" si="23">IFERROR(F54/F33, "N/A")</f>
        <v>0.43000000000000005</v>
      </c>
      <c r="G56" s="117">
        <f t="shared" si="23"/>
        <v>0.41000000000000009</v>
      </c>
      <c r="H56" s="117">
        <f t="shared" si="23"/>
        <v>0.39</v>
      </c>
      <c r="I56" s="117">
        <f t="shared" si="23"/>
        <v>0.38</v>
      </c>
      <c r="J56" s="117">
        <f t="shared" si="23"/>
        <v>0.36999999999999994</v>
      </c>
      <c r="K56" s="117">
        <f t="shared" si="23"/>
        <v>0.36</v>
      </c>
      <c r="L56" s="117">
        <f t="shared" si="23"/>
        <v>0.35000000000000003</v>
      </c>
      <c r="M56" s="117">
        <f t="shared" si="23"/>
        <v>0.34999999999999992</v>
      </c>
      <c r="N56" s="117">
        <f t="shared" si="23"/>
        <v>0.34999999999999992</v>
      </c>
    </row>
  </sheetData>
  <mergeCells count="1">
    <mergeCell ref="G19:G24"/>
  </mergeCells>
  <phoneticPr fontId="41" type="noConversion"/>
  <pageMargins left="0.7" right="0.7" top="0.75" bottom="0.75" header="0.3" footer="0.3"/>
  <pageSetup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Accounting</vt:lpstr>
      <vt:lpstr>Multiples</vt:lpstr>
      <vt:lpstr>DCF</vt:lpstr>
      <vt:lpstr>Discount_Rate</vt:lpstr>
      <vt:lpstr>Equity_Risk_Premium</vt:lpstr>
      <vt:lpstr>Initial_Cash</vt:lpstr>
      <vt:lpstr>Num_Years</vt:lpstr>
      <vt:lpstr>Accounting!Print_Area</vt:lpstr>
      <vt:lpstr>DCF!Print_Area</vt:lpstr>
      <vt:lpstr>Multiples!Print_Area</vt:lpstr>
      <vt:lpstr>Risk_Free_Rate</vt:lpstr>
      <vt:lpstr>Scenario</vt:lpstr>
      <vt:lpstr>Share_Price</vt:lpstr>
      <vt:lpstr>Shares_Outstanding</vt:lpstr>
      <vt:lpstr>DCF!Tax_Rate</vt:lpstr>
      <vt:lpstr>Tax_Rate</vt:lpstr>
      <vt:lpstr>Terminal_Growth_Rate</vt:lpstr>
      <vt:lpstr>Unlevered_Beta</vt:lpstr>
    </vt:vector>
  </TitlesOfParts>
  <Company>LENOVO CUSTOMER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BIWS</dc:creator>
  <cp:lastModifiedBy>Brian DeChesare</cp:lastModifiedBy>
  <cp:lastPrinted>2012-07-08T01:12:53Z</cp:lastPrinted>
  <dcterms:created xsi:type="dcterms:W3CDTF">2009-06-26T05:31:17Z</dcterms:created>
  <dcterms:modified xsi:type="dcterms:W3CDTF">2025-11-19T15:56:42Z</dcterms:modified>
</cp:coreProperties>
</file>