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105-Accounting\105-42-Trading-Securities\"/>
    </mc:Choice>
  </mc:AlternateContent>
  <xr:revisionPtr revIDLastSave="0" documentId="13_ncr:1_{110EB5CF-E666-45C5-8492-2C5190B9637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rading_Securities" sheetId="3" r:id="rId1"/>
    <sheet name="GOOG" sheetId="4" r:id="rId2"/>
  </sheets>
  <externalReferences>
    <externalReference r:id="rId3"/>
  </externalReferences>
  <definedNames>
    <definedName name="Basic_Shares">#REF!</definedName>
    <definedName name="Company_Name">#REF!</definedName>
    <definedName name="Diluted_Shares">#REF!</definedName>
    <definedName name="EUR_to_USD">#REF!</definedName>
    <definedName name="Initial_Cash" localSheetId="1">'[1]Simple-3-Statements'!$E$11</definedName>
    <definedName name="Initial_Cash">Trading_Securities!$E$11</definedName>
    <definedName name="Last_FY">GOOG!$F$11</definedName>
    <definedName name="Last_Quarter">GOOG!$F$12</definedName>
    <definedName name="_xlnm.Print_Area" localSheetId="1">GOOG!$A$1:$R$25</definedName>
    <definedName name="_xlnm.Print_Area" localSheetId="0">Trading_Securities!$A$1:$Q$87</definedName>
    <definedName name="Share_Price" localSheetId="1">#REF!</definedName>
    <definedName name="Share_Price">Trading_Securities!$E$9</definedName>
    <definedName name="Shares_Outstanding" localSheetId="1">'[1]Simple-3-Statements'!$E$10</definedName>
    <definedName name="Shares_Outstanding">Trading_Securities!$E$10</definedName>
    <definedName name="Tax_Rate" localSheetId="1">'[1]Simple-3-Statements'!$E$7</definedName>
    <definedName name="Tax_Rate">Trading_Securities!$E$7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4" l="1"/>
  <c r="F19" i="4"/>
  <c r="O24" i="4"/>
  <c r="N24" i="4"/>
  <c r="M24" i="4"/>
  <c r="L24" i="4"/>
  <c r="N21" i="4"/>
  <c r="M21" i="4"/>
  <c r="L21" i="4"/>
  <c r="N18" i="4"/>
  <c r="M18" i="4"/>
  <c r="L18" i="4"/>
  <c r="K5" i="4"/>
  <c r="F15" i="4"/>
  <c r="O14" i="4"/>
  <c r="O12" i="4"/>
  <c r="O10" i="4"/>
  <c r="O17" i="4"/>
  <c r="O16" i="4"/>
  <c r="O15" i="4"/>
  <c r="O13" i="4"/>
  <c r="O18" i="4" l="1"/>
  <c r="F10" i="4" l="1"/>
  <c r="F16" i="4" s="1"/>
  <c r="E60" i="3" l="1"/>
  <c r="P55" i="3" s="1"/>
  <c r="E59" i="3"/>
  <c r="P52" i="3" s="1"/>
  <c r="O52" i="3"/>
  <c r="P69" i="3"/>
  <c r="P68" i="3"/>
  <c r="O55" i="3"/>
  <c r="O54" i="3"/>
  <c r="J57" i="3" s="1"/>
  <c r="P54" i="3" l="1"/>
  <c r="K57" i="3" s="1"/>
  <c r="D56" i="3" l="1"/>
  <c r="D54" i="3"/>
  <c r="O51" i="3"/>
  <c r="O50" i="3"/>
  <c r="O49" i="3"/>
  <c r="E53" i="3"/>
  <c r="E52" i="3"/>
  <c r="P50" i="3" s="1"/>
  <c r="E51" i="3"/>
  <c r="E50" i="3"/>
  <c r="E47" i="3"/>
  <c r="D48" i="3"/>
  <c r="E54" i="3" l="1"/>
  <c r="P51" i="3"/>
  <c r="P49" i="3"/>
  <c r="P80" i="3"/>
  <c r="P79" i="3"/>
  <c r="P78" i="3"/>
  <c r="P76" i="3"/>
  <c r="P75" i="3"/>
  <c r="P74" i="3"/>
  <c r="P70" i="3"/>
  <c r="P66" i="3"/>
  <c r="D68" i="3"/>
  <c r="E68" i="3" s="1"/>
  <c r="P62" i="3"/>
  <c r="P61" i="3"/>
  <c r="P60" i="3"/>
  <c r="P59" i="3"/>
  <c r="P58" i="3"/>
  <c r="P57" i="3"/>
  <c r="E61" i="3"/>
  <c r="E58" i="3"/>
  <c r="E57" i="3"/>
  <c r="J56" i="3"/>
  <c r="I48" i="3"/>
  <c r="O83" i="3" s="1"/>
  <c r="E46" i="3"/>
  <c r="E48" i="3" s="1"/>
  <c r="P24" i="3"/>
  <c r="P77" i="3" s="1"/>
  <c r="J72" i="3"/>
  <c r="P67" i="3"/>
  <c r="E56" i="3" l="1"/>
  <c r="P83" i="3"/>
  <c r="K56" i="3"/>
  <c r="I73" i="3"/>
  <c r="I68" i="3"/>
  <c r="I75" i="3" l="1"/>
  <c r="K72" i="3"/>
  <c r="J71" i="3"/>
  <c r="J73" i="3" s="1"/>
  <c r="J67" i="3"/>
  <c r="J66" i="3"/>
  <c r="J65" i="3"/>
  <c r="J49" i="3"/>
  <c r="J50" i="3"/>
  <c r="J51" i="3"/>
  <c r="J68" i="3" l="1"/>
  <c r="J75" i="3" s="1"/>
  <c r="I59" i="3" l="1"/>
  <c r="K67" i="3" l="1"/>
  <c r="K66" i="3"/>
  <c r="K65" i="3"/>
  <c r="K51" i="3"/>
  <c r="K50" i="3"/>
  <c r="K49" i="3"/>
  <c r="K68" i="3" l="1"/>
  <c r="K71" i="3"/>
  <c r="K73" i="3" s="1"/>
  <c r="P53" i="3"/>
  <c r="K55" i="3" s="1"/>
  <c r="K75" i="3" l="1"/>
  <c r="O53" i="3"/>
  <c r="J55" i="3" s="1"/>
  <c r="O81" i="3"/>
  <c r="O71" i="3"/>
  <c r="D62" i="3" l="1"/>
  <c r="I79" i="3"/>
  <c r="P71" i="3"/>
  <c r="P81" i="3"/>
  <c r="I52" i="3"/>
  <c r="I61" i="3" s="1"/>
  <c r="D64" i="3" l="1"/>
  <c r="D66" i="3" s="1"/>
  <c r="E62" i="3"/>
  <c r="O47" i="3" l="1"/>
  <c r="J77" i="3" s="1"/>
  <c r="J79" i="3" s="1"/>
  <c r="D69" i="3"/>
  <c r="E64" i="3"/>
  <c r="E66" i="3" s="1"/>
  <c r="E69" i="3" l="1"/>
  <c r="P47" i="3"/>
  <c r="K77" i="3" l="1"/>
  <c r="K8" i="3" s="1"/>
  <c r="K9" i="3"/>
  <c r="O63" i="3"/>
  <c r="O85" i="3" s="1"/>
  <c r="O86" i="3" s="1"/>
  <c r="J58" i="3"/>
  <c r="K79" i="3" l="1"/>
  <c r="K11" i="3" s="1"/>
  <c r="J48" i="3"/>
  <c r="P63" i="3"/>
  <c r="P85" i="3" s="1"/>
  <c r="P86" i="3" s="1"/>
  <c r="K58" i="3"/>
  <c r="J59" i="3"/>
  <c r="J52" i="3" l="1"/>
  <c r="J61" i="3" s="1"/>
  <c r="K48" i="3"/>
  <c r="K7" i="3" s="1"/>
  <c r="K59" i="3"/>
  <c r="K52" i="3" l="1"/>
  <c r="K61" i="3" s="1"/>
  <c r="K10" i="3" s="1"/>
  <c r="I81" i="3" l="1"/>
  <c r="J81" i="3"/>
  <c r="K81" i="3" l="1"/>
  <c r="K1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BIWS</author>
  </authors>
  <commentList>
    <comment ref="E18" authorId="0" shapeId="0" xr:uid="{D4BD1132-370F-4C69-81FE-624B71987812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  <comment ref="E20" authorId="0" shapeId="0" xr:uid="{C684C659-7ECA-4C98-9813-4C7F21490229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  <comment ref="E21" authorId="0" shapeId="0" xr:uid="{511EAA60-33C5-49BB-AD3B-44FA2C5FC8FD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  <comment ref="E23" authorId="0" shapeId="0" xr:uid="{771007B4-CDAD-4A4E-9230-C23791252318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component never appears directly on the statements; it's used to calculate other lease components.</t>
        </r>
      </text>
    </comment>
    <comment ref="E24" authorId="0" shapeId="0" xr:uid="{0CF4BCFA-68AB-4BBE-98B7-AF47D90373F1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  <comment ref="P24" authorId="0" shapeId="0" xr:uid="{958F29D1-A8FE-4100-B65D-C4A406DC655B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is ALWAYS based on the Finance Lease Cash Payments - Finance Lease Interest Expense. Do not alter the formula.</t>
        </r>
      </text>
    </comment>
    <comment ref="E25" authorId="0" shapeId="0" xr:uid="{3DBA4F5F-8294-4904-A50F-5BDF72942E78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  <comment ref="E2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This will result in a NEGATIVE because it's an EXPENSE!</t>
        </r>
      </text>
    </comment>
  </commentList>
</comments>
</file>

<file path=xl/sharedStrings.xml><?xml version="1.0" encoding="utf-8"?>
<sst xmlns="http://schemas.openxmlformats.org/spreadsheetml/2006/main" count="227" uniqueCount="180">
  <si>
    <t>Gross Profit:</t>
  </si>
  <si>
    <t>Operating Income:</t>
  </si>
  <si>
    <t>Pre-Tax Income:</t>
  </si>
  <si>
    <t>Current Assets:</t>
  </si>
  <si>
    <t>Total Current Assets:</t>
  </si>
  <si>
    <t>Total Assets:</t>
  </si>
  <si>
    <t>Current Liabilities:</t>
  </si>
  <si>
    <t>Accounts Payable:</t>
  </si>
  <si>
    <t>Total Current Liabilities:</t>
  </si>
  <si>
    <t>Cash Flow from Operations:</t>
  </si>
  <si>
    <t>Net Income:</t>
  </si>
  <si>
    <t>Deferred Revenue:</t>
  </si>
  <si>
    <t>Cash Flow from Investing:</t>
  </si>
  <si>
    <t>Cash Flow from Financing:</t>
  </si>
  <si>
    <t>Total Liabilities:</t>
  </si>
  <si>
    <t>Inventory:</t>
  </si>
  <si>
    <t>Accrued Expenses:</t>
  </si>
  <si>
    <t>Income Statement</t>
  </si>
  <si>
    <t>Balance Sheet</t>
  </si>
  <si>
    <t>Accounts Receivable:</t>
  </si>
  <si>
    <t>Long-Term Assets:</t>
  </si>
  <si>
    <t>Long-Term Liabilities:</t>
  </si>
  <si>
    <t>Cash Flow Statement</t>
  </si>
  <si>
    <t>Changes in Operating Assets &amp; Liabilities:</t>
  </si>
  <si>
    <t>Tax Rate:</t>
  </si>
  <si>
    <t>Revenue:</t>
  </si>
  <si>
    <t>Initial Cash Balance:</t>
  </si>
  <si>
    <t>Prepaid Expenses:</t>
  </si>
  <si>
    <t>Cash Changes By…</t>
  </si>
  <si>
    <t>Increases By:</t>
  </si>
  <si>
    <t>Decreases By:</t>
  </si>
  <si>
    <t>Beginning Cash:</t>
  </si>
  <si>
    <t>Total Long-Term Assets:</t>
  </si>
  <si>
    <t>Non-Cash Expenses &amp; Other Adjustments:</t>
  </si>
  <si>
    <t>Total Long-Term Liabilities:</t>
  </si>
  <si>
    <t>Total Liabilities &amp; Equity:</t>
  </si>
  <si>
    <t>Decreases By (This represents a COGS increase):</t>
  </si>
  <si>
    <t>Revenue Increases By:</t>
  </si>
  <si>
    <t>Operating Expenses Increases By:</t>
  </si>
  <si>
    <t>Income Statement Line Items (COGS Handled via Inventory):</t>
  </si>
  <si>
    <t>Depreciation Increases By:</t>
  </si>
  <si>
    <t>Stock-Based Compensation Increases By:</t>
  </si>
  <si>
    <t>Interest Income Increases By:</t>
  </si>
  <si>
    <t>Interest Expense Increases By:</t>
  </si>
  <si>
    <t>Cash Flow Statement Line Items:</t>
  </si>
  <si>
    <t>Capital Expenditures Increases By:</t>
  </si>
  <si>
    <t>Balance Sheet Balanced?</t>
  </si>
  <si>
    <t>Assumptions &amp; Model Output</t>
  </si>
  <si>
    <t>Assets Side Changes By…</t>
  </si>
  <si>
    <t>Liabilities &amp; Equity Side Changes By…</t>
  </si>
  <si>
    <t>Balance Sheet Still Balanced?</t>
  </si>
  <si>
    <t>Gain / (Loss) on Sale of PP&amp;E Changes By:</t>
  </si>
  <si>
    <t>Interview Questions - Possible Scenarios, by Statement</t>
  </si>
  <si>
    <t>Before</t>
  </si>
  <si>
    <t>After</t>
  </si>
  <si>
    <t>Current</t>
  </si>
  <si>
    <t>Here's What Happens on the Statements…</t>
  </si>
  <si>
    <t>End of Current</t>
  </si>
  <si>
    <t>Increase / (Decrease) in Cash:</t>
  </si>
  <si>
    <t>Operational Balance Sheet Line Items:</t>
  </si>
  <si>
    <t>Earnings Per Share (EPS):</t>
  </si>
  <si>
    <t>Share Price:</t>
  </si>
  <si>
    <t>Shares Outstanding (Millions):</t>
  </si>
  <si>
    <t>($ in Millions Except Per Share Amounts in $ as Stated)</t>
  </si>
  <si>
    <t>Common Dividends Increases By:</t>
  </si>
  <si>
    <t>Period:</t>
  </si>
  <si>
    <t>Changes:</t>
  </si>
  <si>
    <t>Common Shares (MM):</t>
  </si>
  <si>
    <t>Book Value of PP&amp;E Disposals Increases By:</t>
  </si>
  <si>
    <t>(+) Interest Income:</t>
  </si>
  <si>
    <t>(-) Interest Expense:</t>
  </si>
  <si>
    <t>(+) Depreciation:</t>
  </si>
  <si>
    <t>(+) Stock-Based Compensation:</t>
  </si>
  <si>
    <t>(-) Capital Expenditures:</t>
  </si>
  <si>
    <t>(+) PP&amp;E Sale Proceeds:</t>
  </si>
  <si>
    <t>(-) Common Dividends Issued:</t>
  </si>
  <si>
    <t>Starting Assumptions:</t>
  </si>
  <si>
    <t>(+) Gain / (-) Loss on PP&amp;E Sale:</t>
  </si>
  <si>
    <t>(-) Gain / (+) Loss on PP&amp;E Sale:</t>
  </si>
  <si>
    <t>(+) Issue Debt:</t>
  </si>
  <si>
    <t>(-) Repay Debt:</t>
  </si>
  <si>
    <t>ASSETS:</t>
  </si>
  <si>
    <t>LIABILITIES &amp; EQUITY:</t>
  </si>
  <si>
    <t>(-) Income Tax Provision:</t>
  </si>
  <si>
    <t>(+/-) Deferred Income Taxes:</t>
  </si>
  <si>
    <t>Net Deferred Tax Asset (DTA):</t>
  </si>
  <si>
    <t>Common Shareholders' Equity Changes By…</t>
  </si>
  <si>
    <t>Debt:</t>
  </si>
  <si>
    <t>Cash:</t>
  </si>
  <si>
    <t>Beginning</t>
  </si>
  <si>
    <t>of</t>
  </si>
  <si>
    <t>(+) Issue Finance Leases:</t>
  </si>
  <si>
    <t>(+) Issue New Common Shares:</t>
  </si>
  <si>
    <t>CASH FLOW FROM OPERATING ACTIVITIES:</t>
  </si>
  <si>
    <t>CASH FLOW FROM INVESTING ACTIVITIES:</t>
  </si>
  <si>
    <t>CASH FLOW FROM FINANCING ACTIVITIES:</t>
  </si>
  <si>
    <t>Accounts Receivable (Linked to Revenue):</t>
  </si>
  <si>
    <t>Inventory (Linked to COGS):</t>
  </si>
  <si>
    <t>Deferred Revenue (Linked to Revenue):</t>
  </si>
  <si>
    <t>Issue New Common Shares Increases By:</t>
  </si>
  <si>
    <t>Repurchase Common Shares Increases By:</t>
  </si>
  <si>
    <t>Prepaid Expenses (Linked to OpEx):</t>
  </si>
  <si>
    <t>Accrued Expenses (Linked to OpEx):</t>
  </si>
  <si>
    <t>Accounts Payable (Linked to OpEx):</t>
  </si>
  <si>
    <t>(-) Repurchase Common Shares:</t>
  </si>
  <si>
    <t>Issue Debt Increases By:</t>
  </si>
  <si>
    <t>Repay Debt Increases By:</t>
  </si>
  <si>
    <t>Issue Finance Leases Increases By:</t>
  </si>
  <si>
    <t>Net Property, Plant &amp; Equipment (PP&amp;E):</t>
  </si>
  <si>
    <t>Ending Cash:</t>
  </si>
  <si>
    <t>Common Shareholders' Equity:</t>
  </si>
  <si>
    <t>Finance Lease Cash Payment Increases By:</t>
  </si>
  <si>
    <t>Finance Lease Depreciation Increases By:</t>
  </si>
  <si>
    <t>Finance Lease Interest Expense Increases By:</t>
  </si>
  <si>
    <t>(+) Lease Depreciation:</t>
  </si>
  <si>
    <t>Finance Lease Assets:</t>
  </si>
  <si>
    <t>(-) Additions to Finance Lease Assets:</t>
  </si>
  <si>
    <t>Finance Lease Liabilities:</t>
  </si>
  <si>
    <t>(+/-) Accounts Receivable:</t>
  </si>
  <si>
    <t>(+/-) Prepaid Expenses:</t>
  </si>
  <si>
    <t>(+/-) Inventory:</t>
  </si>
  <si>
    <t>(+/-) Accounts Payable:</t>
  </si>
  <si>
    <t>(+/-) Accrued Expenses:</t>
  </si>
  <si>
    <t>(+/-) Deferred Revenue:</t>
  </si>
  <si>
    <t>Net Income Changes By….</t>
  </si>
  <si>
    <t>(-) Cost of Goods Sold (COGS):</t>
  </si>
  <si>
    <t>(-) Cash Operating Expenses:</t>
  </si>
  <si>
    <t>(-) Depreciation:</t>
  </si>
  <si>
    <t>(-) Stock-Based Compensation:</t>
  </si>
  <si>
    <t>Total Operating Expenses:</t>
  </si>
  <si>
    <t>(-) Lease Depreciation:</t>
  </si>
  <si>
    <t>Finance Lease Principal Repayments Increases By:</t>
  </si>
  <si>
    <t>(-) Finance Lease Principal Repayments:</t>
  </si>
  <si>
    <t>(+) Unrealized Gain / (-) Loss on Securities:</t>
  </si>
  <si>
    <t>(+) Realized Gain / (-) Loss on Securities:</t>
  </si>
  <si>
    <t>Trading Securities:</t>
  </si>
  <si>
    <t>(-) Unrealized Gain / (+) Loss on Securities:</t>
  </si>
  <si>
    <t>(-) Realized Gain / (+) Loss on Securities:</t>
  </si>
  <si>
    <t>(-) Buy Trading Securities:</t>
  </si>
  <si>
    <t>(-) Sell Trading Securities (Total Proceeds):</t>
  </si>
  <si>
    <t>Trading Securities - Unrealized Gain or Loss:</t>
  </si>
  <si>
    <t>Trading Securities - Realized Gain or Loss:</t>
  </si>
  <si>
    <t>Buy Trading Securities Increases By:</t>
  </si>
  <si>
    <t>Sell Trading Securities Increases By (Book Value):</t>
  </si>
  <si>
    <t>equal this number plus the Realized Gain or Loss)</t>
  </si>
  <si>
    <r>
      <t xml:space="preserve">(This is </t>
    </r>
    <r>
      <rPr>
        <b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the total proceeds on the CFS - total proceeds</t>
    </r>
  </si>
  <si>
    <t>Current Equity Value:</t>
  </si>
  <si>
    <t>(+) Debt:</t>
  </si>
  <si>
    <t>(+) Preferred Stock:</t>
  </si>
  <si>
    <t>(+) Noncontrolling Interests:</t>
  </si>
  <si>
    <t>Current Enterprise Value:</t>
  </si>
  <si>
    <t>Google - GAAP vs. Pro-Forma Net Income and P/E Multiples</t>
  </si>
  <si>
    <t>LTM</t>
  </si>
  <si>
    <t>$ M</t>
  </si>
  <si>
    <t>Operating Income (EBIT):</t>
  </si>
  <si>
    <t>GAAP (Reported) Net Income:</t>
  </si>
  <si>
    <t>(+/-) FX Gains/Losses:</t>
  </si>
  <si>
    <t>(+/-) Equity Investment Items:</t>
  </si>
  <si>
    <t>(+/-) Other:</t>
  </si>
  <si>
    <t>Pro-Forma Pre-Tax Income:</t>
  </si>
  <si>
    <t>Effective Tax Rate:</t>
  </si>
  <si>
    <t>%</t>
  </si>
  <si>
    <t>Pro-Forma Net Income:</t>
  </si>
  <si>
    <t>Diluted Share Count:</t>
  </si>
  <si>
    <t>(-) Preferred Dividends:</t>
  </si>
  <si>
    <t>(-) Taxes:</t>
  </si>
  <si>
    <t>(-) Marketable Securities:</t>
  </si>
  <si>
    <t>(-) Cash:</t>
  </si>
  <si>
    <t>x</t>
  </si>
  <si>
    <t>Calculations:</t>
  </si>
  <si>
    <t>Units:</t>
  </si>
  <si>
    <t>$ as Stated</t>
  </si>
  <si>
    <t># Millions</t>
  </si>
  <si>
    <t>GAAP vs. Pro-Forma Net Income:</t>
  </si>
  <si>
    <t>12 Months</t>
  </si>
  <si>
    <t>6 Months</t>
  </si>
  <si>
    <t>LTM P / E Multiples:</t>
  </si>
  <si>
    <t>GAAP:</t>
  </si>
  <si>
    <t>Pro-Forma:</t>
  </si>
  <si>
    <t>Accounting and Three-Statement Interview Questions (Modified for Trading Securities)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</si>
</sst>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;[Red]\(0.0%\)"/>
    <numFmt numFmtId="166" formatCode="&quot;$&quot;#,##0_);\(&quot;$&quot;#,##0\);&quot;OK!&quot;;&quot;ERROR&quot;"/>
    <numFmt numFmtId="167" formatCode="_(&quot;$&quot;* #,##0.0_);_(&quot;$&quot;* \(#,##0.0\);_(&quot;$&quot;* &quot;-&quot;_);_(@_)"/>
    <numFmt numFmtId="168" formatCode="_(&quot;$&quot;* #,##0_);_(&quot;$&quot;* \(#,##0\);&quot;OK!&quot;;&quot;ERROR&quot;"/>
    <numFmt numFmtId="169" formatCode="yyyy\-mm\-dd"/>
    <numFmt numFmtId="170" formatCode="0.0%"/>
    <numFmt numFmtId="171" formatCode="_(0.0\ \x_);\(0.0\ \x\);_(&quot;–&quot;_);_(@_)"/>
  </numFmts>
  <fonts count="3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u/>
      <sz val="12"/>
      <color rgb="FFFFFFFF"/>
      <name val="Arial"/>
      <family val="2"/>
    </font>
    <font>
      <u/>
      <sz val="12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name val="Arial"/>
      <family val="2"/>
    </font>
    <font>
      <u/>
      <sz val="12"/>
      <color indexed="9"/>
      <name val="Arial"/>
      <family val="2"/>
    </font>
    <font>
      <sz val="12"/>
      <color rgb="FF00B050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16E4"/>
      <name val="Calibri"/>
      <family val="2"/>
      <scheme val="minor"/>
    </font>
    <font>
      <sz val="12"/>
      <color rgb="FF0016E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u/>
      <sz val="12"/>
      <color rgb="FFFFFFFF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b/>
      <u/>
      <sz val="12"/>
      <color rgb="FFFFFFFF"/>
      <name val="Calibri"/>
      <family val="2"/>
      <scheme val="minor"/>
    </font>
    <font>
      <u/>
      <sz val="12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/>
      <top/>
      <bottom/>
      <diagonal/>
    </border>
    <border>
      <left/>
      <right style="thin">
        <color rgb="FFB2B2B2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1">
    <xf numFmtId="0" fontId="0" fillId="0" borderId="0" xfId="0"/>
    <xf numFmtId="0" fontId="7" fillId="0" borderId="0" xfId="0" applyFont="1"/>
    <xf numFmtId="0" fontId="8" fillId="0" borderId="0" xfId="0" applyFont="1"/>
    <xf numFmtId="0" fontId="9" fillId="4" borderId="2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7" fillId="3" borderId="2" xfId="0" applyFont="1" applyFill="1" applyBorder="1"/>
    <xf numFmtId="0" fontId="8" fillId="3" borderId="2" xfId="0" applyFont="1" applyFill="1" applyBorder="1"/>
    <xf numFmtId="0" fontId="8" fillId="0" borderId="0" xfId="0" applyFont="1" applyAlignment="1">
      <alignment horizontal="left"/>
    </xf>
    <xf numFmtId="9" fontId="15" fillId="0" borderId="0" xfId="0" applyNumberFormat="1" applyFont="1"/>
    <xf numFmtId="9" fontId="16" fillId="2" borderId="3" xfId="0" applyNumberFormat="1" applyFont="1" applyFill="1" applyBorder="1" applyAlignment="1">
      <alignment horizontal="center"/>
    </xf>
    <xf numFmtId="42" fontId="17" fillId="0" borderId="0" xfId="0" applyNumberFormat="1" applyFont="1"/>
    <xf numFmtId="9" fontId="18" fillId="0" borderId="0" xfId="0" applyNumberFormat="1" applyFont="1"/>
    <xf numFmtId="0" fontId="8" fillId="0" borderId="0" xfId="0" applyFont="1" applyAlignment="1">
      <alignment horizontal="left" indent="1"/>
    </xf>
    <xf numFmtId="44" fontId="16" fillId="2" borderId="3" xfId="0" applyNumberFormat="1" applyFont="1" applyFill="1" applyBorder="1"/>
    <xf numFmtId="37" fontId="16" fillId="2" borderId="3" xfId="0" applyNumberFormat="1" applyFont="1" applyFill="1" applyBorder="1"/>
    <xf numFmtId="6" fontId="18" fillId="0" borderId="0" xfId="0" applyNumberFormat="1" applyFont="1"/>
    <xf numFmtId="42" fontId="16" fillId="2" borderId="3" xfId="0" applyNumberFormat="1" applyFont="1" applyFill="1" applyBorder="1"/>
    <xf numFmtId="42" fontId="18" fillId="0" borderId="0" xfId="0" applyNumberFormat="1" applyFont="1"/>
    <xf numFmtId="0" fontId="19" fillId="4" borderId="2" xfId="0" applyFont="1" applyFill="1" applyBorder="1"/>
    <xf numFmtId="0" fontId="17" fillId="0" borderId="0" xfId="0" applyFont="1"/>
    <xf numFmtId="0" fontId="7" fillId="0" borderId="0" xfId="0" applyFont="1" applyAlignment="1">
      <alignment horizontal="left"/>
    </xf>
    <xf numFmtId="41" fontId="8" fillId="0" borderId="0" xfId="0" applyNumberFormat="1" applyFont="1"/>
    <xf numFmtId="0" fontId="7" fillId="0" borderId="1" xfId="0" applyFont="1" applyBorder="1"/>
    <xf numFmtId="0" fontId="7" fillId="3" borderId="1" xfId="0" applyFont="1" applyFill="1" applyBorder="1" applyAlignment="1">
      <alignment horizontal="centerContinuous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Continuous"/>
    </xf>
    <xf numFmtId="0" fontId="20" fillId="3" borderId="0" xfId="0" applyFont="1" applyFill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42" fontId="22" fillId="0" borderId="0" xfId="0" applyNumberFormat="1" applyFont="1"/>
    <xf numFmtId="42" fontId="20" fillId="0" borderId="0" xfId="0" applyNumberFormat="1" applyFont="1"/>
    <xf numFmtId="6" fontId="20" fillId="0" borderId="0" xfId="0" applyNumberFormat="1" applyFont="1"/>
    <xf numFmtId="6" fontId="21" fillId="0" borderId="0" xfId="0" applyNumberFormat="1" applyFont="1"/>
    <xf numFmtId="41" fontId="23" fillId="0" borderId="0" xfId="0" applyNumberFormat="1" applyFont="1"/>
    <xf numFmtId="41" fontId="17" fillId="0" borderId="0" xfId="0" applyNumberFormat="1" applyFont="1"/>
    <xf numFmtId="42" fontId="7" fillId="0" borderId="0" xfId="0" applyNumberFormat="1" applyFont="1"/>
    <xf numFmtId="0" fontId="7" fillId="0" borderId="1" xfId="0" applyFont="1" applyBorder="1" applyAlignment="1">
      <alignment horizontal="left"/>
    </xf>
    <xf numFmtId="41" fontId="7" fillId="0" borderId="1" xfId="0" applyNumberFormat="1" applyFont="1" applyBorder="1"/>
    <xf numFmtId="41" fontId="20" fillId="0" borderId="1" xfId="0" applyNumberFormat="1" applyFont="1" applyBorder="1"/>
    <xf numFmtId="6" fontId="15" fillId="0" borderId="0" xfId="0" applyNumberFormat="1" applyFont="1"/>
    <xf numFmtId="6" fontId="7" fillId="0" borderId="0" xfId="0" applyNumberFormat="1" applyFont="1"/>
    <xf numFmtId="6" fontId="17" fillId="0" borderId="0" xfId="0" applyNumberFormat="1" applyFont="1"/>
    <xf numFmtId="0" fontId="7" fillId="0" borderId="0" xfId="0" applyFont="1" applyAlignment="1">
      <alignment horizontal="left" indent="1"/>
    </xf>
    <xf numFmtId="41" fontId="7" fillId="0" borderId="0" xfId="0" applyNumberFormat="1" applyFont="1"/>
    <xf numFmtId="41" fontId="20" fillId="0" borderId="0" xfId="0" applyNumberFormat="1" applyFont="1"/>
    <xf numFmtId="164" fontId="21" fillId="0" borderId="0" xfId="0" applyNumberFormat="1" applyFont="1"/>
    <xf numFmtId="37" fontId="8" fillId="0" borderId="0" xfId="0" applyNumberFormat="1" applyFont="1"/>
    <xf numFmtId="37" fontId="17" fillId="0" borderId="0" xfId="0" applyNumberFormat="1" applyFont="1"/>
    <xf numFmtId="44" fontId="8" fillId="0" borderId="0" xfId="0" applyNumberFormat="1" applyFont="1"/>
    <xf numFmtId="44" fontId="17" fillId="0" borderId="0" xfId="0" applyNumberFormat="1" applyFont="1"/>
    <xf numFmtId="5" fontId="17" fillId="0" borderId="0" xfId="0" applyNumberFormat="1" applyFont="1"/>
    <xf numFmtId="8" fontId="7" fillId="0" borderId="0" xfId="0" applyNumberFormat="1" applyFont="1"/>
    <xf numFmtId="3" fontId="17" fillId="0" borderId="0" xfId="0" applyNumberFormat="1" applyFont="1"/>
    <xf numFmtId="0" fontId="7" fillId="0" borderId="0" xfId="0" applyFont="1" applyAlignment="1">
      <alignment horizontal="center"/>
    </xf>
    <xf numFmtId="164" fontId="8" fillId="0" borderId="0" xfId="0" applyNumberFormat="1" applyFont="1"/>
    <xf numFmtId="0" fontId="24" fillId="0" borderId="0" xfId="0" applyFont="1"/>
    <xf numFmtId="0" fontId="3" fillId="0" borderId="0" xfId="0" applyFont="1"/>
    <xf numFmtId="42" fontId="23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166" fontId="8" fillId="0" borderId="0" xfId="0" applyNumberFormat="1" applyFont="1" applyAlignment="1">
      <alignment horizontal="center"/>
    </xf>
    <xf numFmtId="49" fontId="7" fillId="3" borderId="4" xfId="0" applyNumberFormat="1" applyFont="1" applyFill="1" applyBorder="1"/>
    <xf numFmtId="0" fontId="7" fillId="3" borderId="4" xfId="0" applyFont="1" applyFill="1" applyBorder="1"/>
    <xf numFmtId="165" fontId="17" fillId="0" borderId="0" xfId="0" applyNumberFormat="1" applyFont="1" applyAlignment="1">
      <alignment horizontal="left" indent="1"/>
    </xf>
    <xf numFmtId="43" fontId="8" fillId="0" borderId="0" xfId="0" applyNumberFormat="1" applyFont="1"/>
    <xf numFmtId="0" fontId="20" fillId="3" borderId="5" xfId="0" applyFont="1" applyFill="1" applyBorder="1" applyAlignment="1">
      <alignment horizontal="centerContinuous"/>
    </xf>
    <xf numFmtId="168" fontId="7" fillId="0" borderId="0" xfId="0" applyNumberFormat="1" applyFont="1"/>
    <xf numFmtId="0" fontId="1" fillId="0" borderId="0" xfId="0" applyFont="1" applyAlignment="1">
      <alignment horizontal="left" indent="1"/>
    </xf>
    <xf numFmtId="0" fontId="20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41" fontId="22" fillId="0" borderId="0" xfId="0" applyNumberFormat="1" applyFont="1"/>
    <xf numFmtId="0" fontId="1" fillId="0" borderId="0" xfId="0" applyFont="1" applyAlignment="1">
      <alignment horizontal="left"/>
    </xf>
    <xf numFmtId="41" fontId="16" fillId="2" borderId="3" xfId="0" applyNumberFormat="1" applyFont="1" applyFill="1" applyBorder="1"/>
    <xf numFmtId="0" fontId="1" fillId="0" borderId="0" xfId="0" applyFont="1"/>
    <xf numFmtId="41" fontId="16" fillId="0" borderId="0" xfId="0" applyNumberFormat="1" applyFont="1"/>
    <xf numFmtId="167" fontId="16" fillId="0" borderId="0" xfId="0" applyNumberFormat="1" applyFont="1"/>
    <xf numFmtId="0" fontId="9" fillId="0" borderId="0" xfId="0" applyFont="1" applyAlignment="1">
      <alignment horizontal="left"/>
    </xf>
    <xf numFmtId="0" fontId="20" fillId="0" borderId="0" xfId="0" applyFont="1" applyAlignment="1">
      <alignment horizontal="centerContinuous"/>
    </xf>
    <xf numFmtId="0" fontId="1" fillId="0" borderId="2" xfId="0" applyFont="1" applyBorder="1" applyAlignment="1">
      <alignment horizontal="left" indent="1"/>
    </xf>
    <xf numFmtId="41" fontId="17" fillId="0" borderId="1" xfId="0" applyNumberFormat="1" applyFont="1" applyBorder="1"/>
    <xf numFmtId="42" fontId="16" fillId="0" borderId="0" xfId="0" applyNumberFormat="1" applyFont="1"/>
    <xf numFmtId="42" fontId="7" fillId="0" borderId="2" xfId="0" applyNumberFormat="1" applyFont="1" applyBorder="1"/>
    <xf numFmtId="0" fontId="1" fillId="0" borderId="1" xfId="0" applyFont="1" applyBorder="1"/>
    <xf numFmtId="42" fontId="7" fillId="0" borderId="1" xfId="0" applyNumberFormat="1" applyFont="1" applyBorder="1"/>
    <xf numFmtId="44" fontId="16" fillId="0" borderId="0" xfId="0" applyNumberFormat="1" applyFont="1"/>
    <xf numFmtId="37" fontId="16" fillId="0" borderId="0" xfId="0" applyNumberFormat="1" applyFont="1"/>
    <xf numFmtId="0" fontId="1" fillId="3" borderId="2" xfId="0" applyFont="1" applyFill="1" applyBorder="1"/>
    <xf numFmtId="0" fontId="25" fillId="3" borderId="2" xfId="0" applyFont="1" applyFill="1" applyBorder="1" applyAlignment="1">
      <alignment horizontal="center"/>
    </xf>
    <xf numFmtId="169" fontId="7" fillId="3" borderId="2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42" fontId="27" fillId="2" borderId="8" xfId="0" applyNumberFormat="1" applyFont="1" applyFill="1" applyBorder="1"/>
    <xf numFmtId="41" fontId="16" fillId="2" borderId="8" xfId="0" applyNumberFormat="1" applyFont="1" applyFill="1" applyBorder="1"/>
    <xf numFmtId="0" fontId="26" fillId="0" borderId="2" xfId="0" applyFont="1" applyBorder="1" applyAlignment="1">
      <alignment horizontal="center"/>
    </xf>
    <xf numFmtId="41" fontId="17" fillId="0" borderId="9" xfId="0" applyNumberFormat="1" applyFont="1" applyBorder="1"/>
    <xf numFmtId="41" fontId="16" fillId="2" borderId="10" xfId="0" applyNumberFormat="1" applyFont="1" applyFill="1" applyBorder="1"/>
    <xf numFmtId="41" fontId="1" fillId="0" borderId="0" xfId="0" applyNumberFormat="1" applyFont="1"/>
    <xf numFmtId="42" fontId="20" fillId="0" borderId="11" xfId="0" applyNumberFormat="1" applyFont="1" applyBorder="1"/>
    <xf numFmtId="41" fontId="27" fillId="2" borderId="8" xfId="0" applyNumberFormat="1" applyFont="1" applyFill="1" applyBorder="1"/>
    <xf numFmtId="0" fontId="1" fillId="0" borderId="2" xfId="0" applyFont="1" applyBorder="1"/>
    <xf numFmtId="43" fontId="1" fillId="0" borderId="0" xfId="0" applyNumberFormat="1" applyFont="1"/>
    <xf numFmtId="41" fontId="17" fillId="2" borderId="10" xfId="0" applyNumberFormat="1" applyFont="1" applyFill="1" applyBorder="1"/>
    <xf numFmtId="170" fontId="16" fillId="2" borderId="8" xfId="0" applyNumberFormat="1" applyFont="1" applyFill="1" applyBorder="1" applyAlignment="1">
      <alignment horizontal="center"/>
    </xf>
    <xf numFmtId="44" fontId="16" fillId="2" borderId="8" xfId="0" applyNumberFormat="1" applyFont="1" applyFill="1" applyBorder="1" applyAlignment="1">
      <alignment horizontal="center"/>
    </xf>
    <xf numFmtId="37" fontId="16" fillId="2" borderId="8" xfId="0" applyNumberFormat="1" applyFont="1" applyFill="1" applyBorder="1"/>
    <xf numFmtId="0" fontId="28" fillId="4" borderId="2" xfId="0" applyFont="1" applyFill="1" applyBorder="1" applyAlignment="1">
      <alignment horizontal="left"/>
    </xf>
    <xf numFmtId="0" fontId="29" fillId="4" borderId="2" xfId="0" applyFont="1" applyFill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30" fillId="4" borderId="2" xfId="0" applyFont="1" applyFill="1" applyBorder="1" applyAlignment="1">
      <alignment horizontal="left"/>
    </xf>
    <xf numFmtId="0" fontId="31" fillId="0" borderId="0" xfId="0" applyFont="1" applyAlignment="1">
      <alignment horizontal="left"/>
    </xf>
    <xf numFmtId="0" fontId="7" fillId="3" borderId="0" xfId="0" applyFont="1" applyFill="1"/>
    <xf numFmtId="0" fontId="1" fillId="3" borderId="0" xfId="0" applyFont="1" applyFill="1"/>
    <xf numFmtId="0" fontId="25" fillId="3" borderId="0" xfId="0" applyFont="1" applyFill="1" applyAlignment="1">
      <alignment horizontal="center"/>
    </xf>
    <xf numFmtId="169" fontId="7" fillId="3" borderId="0" xfId="0" applyNumberFormat="1" applyFont="1" applyFill="1" applyAlignment="1">
      <alignment horizontal="center"/>
    </xf>
    <xf numFmtId="171" fontId="1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86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DA9694"/>
        </patternFill>
      </fill>
    </dxf>
    <dxf>
      <fill>
        <patternFill>
          <bgColor rgb="FFDA9694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DA9694"/>
        </patternFill>
      </fill>
    </dxf>
    <dxf>
      <fill>
        <patternFill>
          <bgColor rgb="FFDA9694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DA9694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DA9694"/>
        </patternFill>
      </fill>
    </dxf>
    <dxf>
      <fill>
        <patternFill>
          <bgColor rgb="FFDA9694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DA9694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colors>
    <mruColors>
      <color rgb="FFB2B2B2"/>
      <color rgb="FF0016E4"/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-CFM-2023-Edition/06-Equity-Value-Enterprise-Value-Metrics/06-01-Eq-Value-Ent-Value-Meaning-Calculations/06-01-Equity-Value-vs-Enterprise-Value.xlsx" TargetMode="External"/><Relationship Id="rId2" Type="http://schemas.openxmlformats.org/officeDocument/2006/relationships/externalLinkPath" Target="file:///C:\Users\bdech\BIWS%20Dropbox\Brian%20DeChesare\BIWS-All-Courses\10-CFM-2023-Edition\06-Equity-Value-Enterprise-Value-Metrics\06-01-Eq-Value-Ent-Value-Meaning-Calculations\06-01-Equity-Value-vs-Enterprise-Value.xlsx" TargetMode="External"/><Relationship Id="rId1" Type="http://schemas.openxmlformats.org/officeDocument/2006/relationships/externalLinkPath" Target="/Users/bdech/BIWS%20Dropbox/Brian%20DeChesare/BIWS-All-Courses/10-CFM-2023-Edition/06-Equity-Value-Enterprise-Value-Metrics/06-01-Eq-Value-Ent-Value-Meaning-Calculations/06-01-Equity-Value-vs-Enterprise-Val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q-Value-Ent-Value"/>
      <sheetName val="Simple-3-Statements"/>
    </sheetNames>
    <sheetDataSet>
      <sheetData sheetId="0"/>
      <sheetData sheetId="1">
        <row r="7">
          <cell r="E7">
            <v>0.25</v>
          </cell>
        </row>
        <row r="10">
          <cell r="E10">
            <v>1000</v>
          </cell>
        </row>
        <row r="11">
          <cell r="E11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/>
  </sheetPr>
  <dimension ref="B2:Q121"/>
  <sheetViews>
    <sheetView showGridLines="0" tabSelected="1" zoomScaleNormal="100" workbookViewId="0">
      <selection activeCell="B2" sqref="B2"/>
    </sheetView>
  </sheetViews>
  <sheetFormatPr defaultColWidth="9.15234375" defaultRowHeight="15.9" x14ac:dyDescent="0.45"/>
  <cols>
    <col min="1" max="2" width="2.69140625" style="2" customWidth="1"/>
    <col min="3" max="3" width="39.61328125" style="2" bestFit="1" customWidth="1"/>
    <col min="4" max="5" width="12.69140625" style="2" customWidth="1"/>
    <col min="6" max="7" width="2.69140625" style="2" customWidth="1"/>
    <col min="8" max="8" width="44.84375" style="2" customWidth="1"/>
    <col min="9" max="11" width="12.69140625" style="2" customWidth="1"/>
    <col min="12" max="13" width="2.69140625" style="2" customWidth="1"/>
    <col min="14" max="14" width="43" style="2" customWidth="1"/>
    <col min="15" max="16" width="12.69140625" style="2" customWidth="1"/>
    <col min="17" max="17" width="2.69140625" style="2" customWidth="1"/>
    <col min="18" max="18" width="9.15234375" style="2"/>
    <col min="19" max="19" width="9.53515625" style="2" bestFit="1" customWidth="1"/>
    <col min="20" max="16384" width="9.15234375" style="2"/>
  </cols>
  <sheetData>
    <row r="2" spans="2:17" ht="18.45" x14ac:dyDescent="0.5">
      <c r="B2" s="61" t="s">
        <v>179</v>
      </c>
    </row>
    <row r="3" spans="2:17" x14ac:dyDescent="0.45">
      <c r="B3" s="2" t="s">
        <v>63</v>
      </c>
    </row>
    <row r="5" spans="2:17" x14ac:dyDescent="0.45">
      <c r="B5" s="3" t="s">
        <v>47</v>
      </c>
      <c r="C5" s="4"/>
      <c r="D5" s="5"/>
      <c r="E5" s="5"/>
      <c r="F5" s="5"/>
      <c r="G5" s="5"/>
      <c r="H5" s="6"/>
      <c r="I5" s="4"/>
      <c r="J5" s="4"/>
      <c r="K5" s="5"/>
      <c r="L5" s="7"/>
      <c r="M5" s="8"/>
      <c r="N5" s="8"/>
      <c r="O5" s="8"/>
      <c r="P5" s="8"/>
      <c r="Q5" s="8"/>
    </row>
    <row r="6" spans="2:17" x14ac:dyDescent="0.45">
      <c r="B6" s="9" t="s">
        <v>76</v>
      </c>
      <c r="C6" s="10"/>
      <c r="D6" s="10"/>
      <c r="E6" s="10"/>
      <c r="G6" s="9" t="s">
        <v>56</v>
      </c>
      <c r="H6" s="10"/>
      <c r="I6" s="10"/>
      <c r="J6" s="10"/>
      <c r="K6" s="10"/>
    </row>
    <row r="7" spans="2:17" x14ac:dyDescent="0.45">
      <c r="C7" s="11" t="s">
        <v>24</v>
      </c>
      <c r="D7" s="12"/>
      <c r="E7" s="13">
        <v>0.25</v>
      </c>
      <c r="H7" s="11" t="s">
        <v>28</v>
      </c>
      <c r="K7" s="14">
        <f>K48-J48</f>
        <v>0</v>
      </c>
      <c r="L7" s="15"/>
    </row>
    <row r="8" spans="2:17" x14ac:dyDescent="0.45">
      <c r="C8" s="16"/>
      <c r="D8" s="12"/>
      <c r="E8" s="15"/>
      <c r="H8" s="65" t="s">
        <v>86</v>
      </c>
      <c r="K8" s="40">
        <f>K77-J77</f>
        <v>15</v>
      </c>
      <c r="L8" s="15"/>
    </row>
    <row r="9" spans="2:17" x14ac:dyDescent="0.45">
      <c r="C9" s="11" t="s">
        <v>61</v>
      </c>
      <c r="E9" s="17">
        <v>1</v>
      </c>
      <c r="H9" s="78" t="s">
        <v>124</v>
      </c>
      <c r="K9" s="40">
        <f>P47-O47</f>
        <v>15</v>
      </c>
      <c r="L9" s="15"/>
    </row>
    <row r="10" spans="2:17" x14ac:dyDescent="0.45">
      <c r="C10" s="11" t="s">
        <v>62</v>
      </c>
      <c r="E10" s="18">
        <v>1000</v>
      </c>
      <c r="F10" s="15"/>
      <c r="H10" s="11" t="s">
        <v>48</v>
      </c>
      <c r="K10" s="40">
        <f>K61-J61</f>
        <v>15</v>
      </c>
      <c r="L10" s="19"/>
    </row>
    <row r="11" spans="2:17" x14ac:dyDescent="0.45">
      <c r="C11" s="11" t="s">
        <v>26</v>
      </c>
      <c r="E11" s="20">
        <v>100</v>
      </c>
      <c r="F11" s="15"/>
      <c r="H11" s="11" t="s">
        <v>49</v>
      </c>
      <c r="K11" s="40">
        <f>K79-J79</f>
        <v>15</v>
      </c>
      <c r="L11" s="19"/>
    </row>
    <row r="12" spans="2:17" x14ac:dyDescent="0.45">
      <c r="E12" s="21"/>
      <c r="F12" s="15"/>
      <c r="H12" s="11" t="s">
        <v>50</v>
      </c>
      <c r="K12" s="66">
        <f>K81</f>
        <v>0</v>
      </c>
      <c r="L12" s="19"/>
    </row>
    <row r="13" spans="2:17" x14ac:dyDescent="0.45">
      <c r="F13" s="15"/>
    </row>
    <row r="14" spans="2:17" x14ac:dyDescent="0.45">
      <c r="B14" s="3" t="s">
        <v>52</v>
      </c>
      <c r="C14" s="4"/>
      <c r="D14" s="5"/>
      <c r="E14" s="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3"/>
    </row>
    <row r="15" spans="2:17" x14ac:dyDescent="0.45">
      <c r="B15" s="9" t="s">
        <v>39</v>
      </c>
      <c r="C15" s="10"/>
      <c r="D15" s="10"/>
      <c r="E15" s="10"/>
      <c r="F15" s="15"/>
      <c r="G15" s="9" t="s">
        <v>59</v>
      </c>
      <c r="H15" s="10"/>
      <c r="I15" s="10"/>
      <c r="J15" s="10"/>
      <c r="K15" s="10"/>
      <c r="M15" s="9" t="s">
        <v>44</v>
      </c>
      <c r="N15" s="10"/>
      <c r="O15" s="10"/>
      <c r="P15" s="10"/>
    </row>
    <row r="16" spans="2:17" x14ac:dyDescent="0.45">
      <c r="F16" s="15"/>
      <c r="H16" s="1"/>
    </row>
    <row r="17" spans="3:16" x14ac:dyDescent="0.45">
      <c r="C17" s="78" t="s">
        <v>37</v>
      </c>
      <c r="E17" s="20"/>
      <c r="F17" s="15"/>
      <c r="G17" s="1" t="s">
        <v>96</v>
      </c>
      <c r="N17" s="11" t="s">
        <v>45</v>
      </c>
      <c r="P17" s="79"/>
    </row>
    <row r="18" spans="3:16" x14ac:dyDescent="0.45">
      <c r="C18" s="11" t="s">
        <v>38</v>
      </c>
      <c r="E18" s="79"/>
      <c r="H18" s="11" t="s">
        <v>29</v>
      </c>
      <c r="K18" s="20"/>
      <c r="N18" s="11" t="s">
        <v>68</v>
      </c>
      <c r="P18" s="79"/>
    </row>
    <row r="19" spans="3:16" x14ac:dyDescent="0.45">
      <c r="H19" s="11" t="s">
        <v>30</v>
      </c>
      <c r="K19" s="79"/>
    </row>
    <row r="20" spans="3:16" x14ac:dyDescent="0.45">
      <c r="C20" s="11" t="s">
        <v>40</v>
      </c>
      <c r="E20" s="79"/>
      <c r="K20" s="19"/>
      <c r="N20" s="78" t="s">
        <v>105</v>
      </c>
      <c r="P20" s="79"/>
    </row>
    <row r="21" spans="3:16" x14ac:dyDescent="0.45">
      <c r="C21" s="11" t="s">
        <v>41</v>
      </c>
      <c r="E21" s="79"/>
      <c r="G21" s="1" t="s">
        <v>101</v>
      </c>
      <c r="K21" s="19"/>
      <c r="N21" s="78" t="s">
        <v>106</v>
      </c>
      <c r="P21" s="79"/>
    </row>
    <row r="22" spans="3:16" x14ac:dyDescent="0.45">
      <c r="C22" s="11"/>
      <c r="E22" s="81"/>
      <c r="H22" s="11" t="s">
        <v>29</v>
      </c>
      <c r="K22" s="79"/>
    </row>
    <row r="23" spans="3:16" x14ac:dyDescent="0.45">
      <c r="C23" s="80" t="s">
        <v>111</v>
      </c>
      <c r="E23" s="79"/>
      <c r="H23" s="11" t="s">
        <v>30</v>
      </c>
      <c r="K23" s="79"/>
      <c r="N23" s="78" t="s">
        <v>107</v>
      </c>
      <c r="P23" s="79"/>
    </row>
    <row r="24" spans="3:16" x14ac:dyDescent="0.45">
      <c r="C24" s="80" t="s">
        <v>112</v>
      </c>
      <c r="E24" s="79"/>
      <c r="H24" s="16"/>
      <c r="K24" s="19"/>
      <c r="N24" s="78" t="s">
        <v>131</v>
      </c>
      <c r="P24" s="86">
        <f>E23-E25</f>
        <v>0</v>
      </c>
    </row>
    <row r="25" spans="3:16" x14ac:dyDescent="0.45">
      <c r="C25" s="80" t="s">
        <v>113</v>
      </c>
      <c r="E25" s="79"/>
      <c r="G25" s="24" t="s">
        <v>97</v>
      </c>
      <c r="K25" s="19"/>
    </row>
    <row r="26" spans="3:16" x14ac:dyDescent="0.45">
      <c r="H26" s="11" t="s">
        <v>29</v>
      </c>
      <c r="K26" s="79"/>
      <c r="N26" s="11" t="s">
        <v>64</v>
      </c>
      <c r="P26" s="79"/>
    </row>
    <row r="27" spans="3:16" x14ac:dyDescent="0.45">
      <c r="C27" s="11" t="s">
        <v>42</v>
      </c>
      <c r="E27" s="79"/>
      <c r="H27" s="11" t="s">
        <v>36</v>
      </c>
      <c r="K27" s="79"/>
    </row>
    <row r="28" spans="3:16" x14ac:dyDescent="0.45">
      <c r="C28" s="11" t="s">
        <v>43</v>
      </c>
      <c r="E28" s="79"/>
      <c r="H28" s="16"/>
      <c r="K28" s="19"/>
      <c r="N28" s="78" t="s">
        <v>99</v>
      </c>
      <c r="P28" s="79"/>
    </row>
    <row r="29" spans="3:16" x14ac:dyDescent="0.45">
      <c r="G29" s="24" t="s">
        <v>102</v>
      </c>
      <c r="K29" s="19"/>
      <c r="N29" s="78" t="s">
        <v>100</v>
      </c>
      <c r="P29" s="79"/>
    </row>
    <row r="30" spans="3:16" x14ac:dyDescent="0.45">
      <c r="C30" s="11" t="s">
        <v>51</v>
      </c>
      <c r="E30" s="79"/>
      <c r="H30" s="11" t="s">
        <v>29</v>
      </c>
      <c r="K30" s="79"/>
    </row>
    <row r="31" spans="3:16" x14ac:dyDescent="0.45">
      <c r="H31" s="11" t="s">
        <v>30</v>
      </c>
      <c r="K31" s="79"/>
      <c r="N31" s="78" t="s">
        <v>142</v>
      </c>
      <c r="O31" s="80"/>
      <c r="P31" s="79"/>
    </row>
    <row r="32" spans="3:16" x14ac:dyDescent="0.45">
      <c r="C32" s="80" t="s">
        <v>140</v>
      </c>
      <c r="E32" s="79">
        <v>20</v>
      </c>
      <c r="H32" s="16"/>
      <c r="K32" s="19"/>
      <c r="N32" s="80" t="s">
        <v>143</v>
      </c>
      <c r="P32" s="79"/>
    </row>
    <row r="33" spans="2:17" x14ac:dyDescent="0.45">
      <c r="C33" s="80" t="s">
        <v>141</v>
      </c>
      <c r="E33" s="79"/>
      <c r="G33" s="24" t="s">
        <v>103</v>
      </c>
      <c r="K33" s="19"/>
      <c r="N33" s="73" t="s">
        <v>145</v>
      </c>
    </row>
    <row r="34" spans="2:17" x14ac:dyDescent="0.45">
      <c r="H34" s="11" t="s">
        <v>29</v>
      </c>
      <c r="K34" s="79"/>
      <c r="N34" s="73" t="s">
        <v>144</v>
      </c>
    </row>
    <row r="35" spans="2:17" x14ac:dyDescent="0.45">
      <c r="C35" s="11"/>
      <c r="E35" s="82"/>
      <c r="H35" s="11" t="s">
        <v>30</v>
      </c>
      <c r="K35" s="79"/>
    </row>
    <row r="36" spans="2:17" x14ac:dyDescent="0.45">
      <c r="C36" s="11"/>
      <c r="E36" s="81"/>
      <c r="H36" s="16"/>
      <c r="K36" s="19"/>
    </row>
    <row r="37" spans="2:17" x14ac:dyDescent="0.45">
      <c r="C37" s="11"/>
      <c r="E37" s="81"/>
      <c r="G37" s="24" t="s">
        <v>98</v>
      </c>
      <c r="K37" s="19"/>
    </row>
    <row r="38" spans="2:17" x14ac:dyDescent="0.45">
      <c r="H38" s="11" t="s">
        <v>29</v>
      </c>
      <c r="K38" s="79"/>
    </row>
    <row r="39" spans="2:17" x14ac:dyDescent="0.45">
      <c r="C39" s="11"/>
      <c r="E39" s="81"/>
      <c r="H39" s="11" t="s">
        <v>30</v>
      </c>
      <c r="K39" s="79"/>
    </row>
    <row r="40" spans="2:17" x14ac:dyDescent="0.45">
      <c r="C40" s="1"/>
    </row>
    <row r="41" spans="2:17" x14ac:dyDescent="0.45">
      <c r="B41" s="3" t="s">
        <v>17</v>
      </c>
      <c r="C41" s="4"/>
      <c r="D41" s="5"/>
      <c r="E41" s="5"/>
      <c r="F41" s="7"/>
      <c r="G41" s="3" t="s">
        <v>18</v>
      </c>
      <c r="H41" s="4"/>
      <c r="I41" s="4"/>
      <c r="J41" s="5"/>
      <c r="K41" s="5"/>
      <c r="L41" s="7"/>
      <c r="M41" s="3" t="s">
        <v>22</v>
      </c>
      <c r="N41" s="4"/>
      <c r="O41" s="5"/>
      <c r="P41" s="5"/>
      <c r="Q41" s="23"/>
    </row>
    <row r="42" spans="2:17" x14ac:dyDescent="0.45">
      <c r="D42" s="27" t="s">
        <v>55</v>
      </c>
      <c r="E42" s="27"/>
      <c r="F42" s="28"/>
      <c r="I42" s="71" t="s">
        <v>89</v>
      </c>
      <c r="J42" s="27" t="s">
        <v>57</v>
      </c>
      <c r="K42" s="27"/>
      <c r="L42" s="28"/>
      <c r="O42" s="27" t="s">
        <v>55</v>
      </c>
      <c r="P42" s="27"/>
    </row>
    <row r="43" spans="2:17" x14ac:dyDescent="0.45">
      <c r="D43" s="29" t="s">
        <v>65</v>
      </c>
      <c r="E43" s="29"/>
      <c r="F43" s="28"/>
      <c r="I43" s="74" t="s">
        <v>90</v>
      </c>
      <c r="J43" s="29" t="s">
        <v>65</v>
      </c>
      <c r="K43" s="29"/>
      <c r="L43" s="28"/>
      <c r="O43" s="29" t="s">
        <v>65</v>
      </c>
      <c r="P43" s="29"/>
    </row>
    <row r="44" spans="2:17" x14ac:dyDescent="0.45">
      <c r="D44" s="30" t="s">
        <v>53</v>
      </c>
      <c r="E44" s="30" t="s">
        <v>54</v>
      </c>
      <c r="F44" s="28"/>
      <c r="I44" s="75" t="s">
        <v>55</v>
      </c>
      <c r="J44" s="30" t="s">
        <v>53</v>
      </c>
      <c r="K44" s="30" t="s">
        <v>54</v>
      </c>
      <c r="L44" s="28"/>
      <c r="O44" s="30" t="s">
        <v>53</v>
      </c>
      <c r="P44" s="30" t="s">
        <v>54</v>
      </c>
    </row>
    <row r="45" spans="2:17" x14ac:dyDescent="0.45">
      <c r="D45" s="31" t="s">
        <v>66</v>
      </c>
      <c r="E45" s="31" t="s">
        <v>66</v>
      </c>
      <c r="F45" s="32"/>
      <c r="H45" s="33"/>
      <c r="I45" s="76" t="s">
        <v>65</v>
      </c>
      <c r="J45" s="30" t="s">
        <v>66</v>
      </c>
      <c r="K45" s="30" t="s">
        <v>66</v>
      </c>
      <c r="L45" s="32"/>
      <c r="N45" s="34"/>
      <c r="O45" s="31" t="s">
        <v>66</v>
      </c>
      <c r="P45" s="31" t="s">
        <v>66</v>
      </c>
    </row>
    <row r="46" spans="2:17" x14ac:dyDescent="0.45">
      <c r="C46" s="1" t="s">
        <v>25</v>
      </c>
      <c r="D46" s="35">
        <v>1300</v>
      </c>
      <c r="E46" s="36">
        <f>D46+E17+K18+K39</f>
        <v>1300</v>
      </c>
      <c r="F46" s="37"/>
      <c r="G46" s="67" t="s">
        <v>81</v>
      </c>
      <c r="H46" s="68"/>
      <c r="I46" s="68"/>
      <c r="J46" s="68"/>
      <c r="K46" s="68"/>
      <c r="L46" s="38"/>
      <c r="M46" s="68" t="s">
        <v>93</v>
      </c>
      <c r="N46" s="68"/>
      <c r="O46" s="9"/>
      <c r="P46" s="9"/>
    </row>
    <row r="47" spans="2:17" x14ac:dyDescent="0.45">
      <c r="C47" s="85" t="s">
        <v>125</v>
      </c>
      <c r="D47" s="39">
        <v>-100</v>
      </c>
      <c r="E47" s="40">
        <f>D47-K27</f>
        <v>-100</v>
      </c>
      <c r="F47" s="37"/>
      <c r="H47" s="1" t="s">
        <v>3</v>
      </c>
      <c r="I47" s="38"/>
      <c r="L47" s="38"/>
      <c r="N47" s="1" t="s">
        <v>10</v>
      </c>
      <c r="O47" s="41">
        <f>D66</f>
        <v>300</v>
      </c>
      <c r="P47" s="41">
        <f>E66</f>
        <v>315</v>
      </c>
    </row>
    <row r="48" spans="2:17" x14ac:dyDescent="0.45">
      <c r="C48" s="42" t="s">
        <v>0</v>
      </c>
      <c r="D48" s="43">
        <f>SUM(D46:D47)</f>
        <v>1200</v>
      </c>
      <c r="E48" s="44">
        <f>SUM(E46:E47)</f>
        <v>1200</v>
      </c>
      <c r="F48" s="37"/>
      <c r="H48" s="73" t="s">
        <v>88</v>
      </c>
      <c r="I48" s="14">
        <f>Initial_Cash</f>
        <v>100</v>
      </c>
      <c r="J48" s="14">
        <f>O86</f>
        <v>400</v>
      </c>
      <c r="K48" s="14">
        <f>P86</f>
        <v>400</v>
      </c>
      <c r="L48" s="38"/>
      <c r="N48" s="1" t="s">
        <v>33</v>
      </c>
      <c r="O48" s="46"/>
      <c r="P48" s="46"/>
    </row>
    <row r="49" spans="2:16" x14ac:dyDescent="0.45">
      <c r="D49" s="25"/>
      <c r="E49" s="25"/>
      <c r="F49" s="47"/>
      <c r="H49" s="16" t="s">
        <v>19</v>
      </c>
      <c r="I49" s="39">
        <v>100</v>
      </c>
      <c r="J49" s="40">
        <f t="shared" ref="J49:K51" si="0">$I49-O57</f>
        <v>100</v>
      </c>
      <c r="K49" s="40">
        <f t="shared" si="0"/>
        <v>100</v>
      </c>
      <c r="L49" s="45"/>
      <c r="N49" s="16" t="s">
        <v>71</v>
      </c>
      <c r="O49" s="40">
        <f>-D51</f>
        <v>0</v>
      </c>
      <c r="P49" s="40">
        <f t="shared" ref="P49:P51" si="1">-E51</f>
        <v>0</v>
      </c>
    </row>
    <row r="50" spans="2:16" x14ac:dyDescent="0.45">
      <c r="C50" s="73" t="s">
        <v>126</v>
      </c>
      <c r="D50" s="39">
        <v>-800</v>
      </c>
      <c r="E50" s="40">
        <f>D50-E18-K23-K30-K34</f>
        <v>-800</v>
      </c>
      <c r="F50" s="47"/>
      <c r="H50" s="16" t="s">
        <v>27</v>
      </c>
      <c r="I50" s="39">
        <v>100</v>
      </c>
      <c r="J50" s="40">
        <f t="shared" si="0"/>
        <v>100</v>
      </c>
      <c r="K50" s="40">
        <f t="shared" si="0"/>
        <v>100</v>
      </c>
      <c r="L50" s="45"/>
      <c r="N50" s="73" t="s">
        <v>114</v>
      </c>
      <c r="O50" s="40">
        <f>-D52</f>
        <v>0</v>
      </c>
      <c r="P50" s="40">
        <f t="shared" si="1"/>
        <v>0</v>
      </c>
    </row>
    <row r="51" spans="2:16" x14ac:dyDescent="0.45">
      <c r="B51" s="48"/>
      <c r="C51" s="73" t="s">
        <v>127</v>
      </c>
      <c r="D51" s="39">
        <v>0</v>
      </c>
      <c r="E51" s="40">
        <f>D51-E20</f>
        <v>0</v>
      </c>
      <c r="F51" s="37"/>
      <c r="H51" s="16" t="s">
        <v>15</v>
      </c>
      <c r="I51" s="39">
        <v>100</v>
      </c>
      <c r="J51" s="40">
        <f t="shared" si="0"/>
        <v>100</v>
      </c>
      <c r="K51" s="40">
        <f t="shared" si="0"/>
        <v>100</v>
      </c>
      <c r="L51" s="37"/>
      <c r="N51" s="16" t="s">
        <v>72</v>
      </c>
      <c r="O51" s="40">
        <f>-D53</f>
        <v>0</v>
      </c>
      <c r="P51" s="40">
        <f t="shared" si="1"/>
        <v>0</v>
      </c>
    </row>
    <row r="52" spans="2:16" x14ac:dyDescent="0.45">
      <c r="C52" s="73" t="s">
        <v>130</v>
      </c>
      <c r="D52" s="39">
        <v>0</v>
      </c>
      <c r="E52" s="40">
        <f>D52-E24</f>
        <v>0</v>
      </c>
      <c r="F52" s="37"/>
      <c r="H52" s="26" t="s">
        <v>4</v>
      </c>
      <c r="I52" s="44">
        <f>SUM(I48:I51)</f>
        <v>400</v>
      </c>
      <c r="J52" s="44">
        <f>SUM(J48:J51)</f>
        <v>700</v>
      </c>
      <c r="K52" s="44">
        <f>SUM(K48:K51)</f>
        <v>700</v>
      </c>
      <c r="L52" s="37"/>
      <c r="N52" s="64" t="s">
        <v>84</v>
      </c>
      <c r="O52" s="40">
        <f>(D53+D59)*Tax_Rate</f>
        <v>0</v>
      </c>
      <c r="P52" s="40">
        <f>(E53+E59)*Tax_Rate</f>
        <v>5</v>
      </c>
    </row>
    <row r="53" spans="2:16" x14ac:dyDescent="0.45">
      <c r="C53" s="73" t="s">
        <v>128</v>
      </c>
      <c r="D53" s="39">
        <v>0</v>
      </c>
      <c r="E53" s="40">
        <f>D53-E21</f>
        <v>0</v>
      </c>
      <c r="F53" s="37"/>
      <c r="K53" s="25"/>
      <c r="L53" s="37"/>
      <c r="N53" s="16" t="s">
        <v>78</v>
      </c>
      <c r="O53" s="40">
        <f>-D61</f>
        <v>0</v>
      </c>
      <c r="P53" s="40">
        <f>-E61</f>
        <v>0</v>
      </c>
    </row>
    <row r="54" spans="2:16" x14ac:dyDescent="0.45">
      <c r="C54" s="26" t="s">
        <v>129</v>
      </c>
      <c r="D54" s="43">
        <f>SUM(D50:D53)</f>
        <v>-800</v>
      </c>
      <c r="E54" s="43">
        <f t="shared" ref="E54" si="2">SUM(E50:E53)</f>
        <v>-800</v>
      </c>
      <c r="F54" s="37"/>
      <c r="H54" s="1" t="s">
        <v>20</v>
      </c>
      <c r="I54" s="51"/>
      <c r="K54" s="25"/>
      <c r="L54" s="37"/>
      <c r="N54" s="73" t="s">
        <v>136</v>
      </c>
      <c r="O54" s="25">
        <f>-D59</f>
        <v>0</v>
      </c>
      <c r="P54" s="25">
        <f t="shared" ref="P54:P55" si="3">-E59</f>
        <v>-20</v>
      </c>
    </row>
    <row r="55" spans="2:16" x14ac:dyDescent="0.45">
      <c r="F55" s="37"/>
      <c r="H55" s="73" t="s">
        <v>108</v>
      </c>
      <c r="I55" s="39">
        <v>1200</v>
      </c>
      <c r="J55" s="40">
        <f>$I55-O49-O53-O66-O70</f>
        <v>1200</v>
      </c>
      <c r="K55" s="40">
        <f>$I55-P49-P53-P66-P70</f>
        <v>1200</v>
      </c>
      <c r="L55" s="37"/>
      <c r="N55" s="73" t="s">
        <v>137</v>
      </c>
      <c r="O55" s="25">
        <f t="shared" ref="O55" si="4">-D60</f>
        <v>0</v>
      </c>
      <c r="P55" s="25">
        <f t="shared" si="3"/>
        <v>0</v>
      </c>
    </row>
    <row r="56" spans="2:16" x14ac:dyDescent="0.45">
      <c r="C56" s="24" t="s">
        <v>1</v>
      </c>
      <c r="D56" s="49">
        <f>D48+D54</f>
        <v>400</v>
      </c>
      <c r="E56" s="49">
        <f t="shared" ref="E56" si="5">E48+E54</f>
        <v>400</v>
      </c>
      <c r="F56" s="37"/>
      <c r="H56" s="73" t="s">
        <v>115</v>
      </c>
      <c r="I56" s="39">
        <v>200</v>
      </c>
      <c r="J56" s="25">
        <f>$I56-O50-O67</f>
        <v>200</v>
      </c>
      <c r="K56" s="25">
        <f>$I56-P50-P67</f>
        <v>200</v>
      </c>
      <c r="L56" s="37"/>
      <c r="N56" s="24" t="s">
        <v>23</v>
      </c>
      <c r="O56" s="47"/>
      <c r="P56" s="47"/>
    </row>
    <row r="57" spans="2:16" x14ac:dyDescent="0.45">
      <c r="B57" s="16"/>
      <c r="C57" s="16" t="s">
        <v>69</v>
      </c>
      <c r="D57" s="39">
        <v>0</v>
      </c>
      <c r="E57" s="40">
        <f>D57+E27</f>
        <v>0</v>
      </c>
      <c r="H57" s="73" t="s">
        <v>135</v>
      </c>
      <c r="I57" s="39">
        <v>100</v>
      </c>
      <c r="J57" s="25">
        <f>$I57-O54-O55-O68-O69</f>
        <v>100</v>
      </c>
      <c r="K57" s="25">
        <f>$I57-P54-P55-P68-P69</f>
        <v>120</v>
      </c>
      <c r="N57" s="73" t="s">
        <v>118</v>
      </c>
      <c r="O57" s="39">
        <v>0</v>
      </c>
      <c r="P57" s="25">
        <f>O57-K18+K19</f>
        <v>0</v>
      </c>
    </row>
    <row r="58" spans="2:16" x14ac:dyDescent="0.45">
      <c r="C58" s="16" t="s">
        <v>70</v>
      </c>
      <c r="D58" s="39">
        <v>0</v>
      </c>
      <c r="E58" s="40">
        <f>D58-E25-E28</f>
        <v>0</v>
      </c>
      <c r="F58" s="47"/>
      <c r="H58" s="73" t="s">
        <v>85</v>
      </c>
      <c r="I58" s="39">
        <v>100</v>
      </c>
      <c r="J58" s="25">
        <f>$I58-O52</f>
        <v>100</v>
      </c>
      <c r="K58" s="25">
        <f>$I58-P52</f>
        <v>95</v>
      </c>
      <c r="L58" s="45"/>
      <c r="N58" s="73" t="s">
        <v>119</v>
      </c>
      <c r="O58" s="39">
        <v>0</v>
      </c>
      <c r="P58" s="25">
        <f>O58-K22+K23</f>
        <v>0</v>
      </c>
    </row>
    <row r="59" spans="2:16" x14ac:dyDescent="0.45">
      <c r="C59" s="73" t="s">
        <v>133</v>
      </c>
      <c r="D59" s="39">
        <v>0</v>
      </c>
      <c r="E59" s="25">
        <f>D59+E32</f>
        <v>20</v>
      </c>
      <c r="F59" s="47"/>
      <c r="H59" s="26" t="s">
        <v>32</v>
      </c>
      <c r="I59" s="44">
        <f>SUM(I55:I58)</f>
        <v>1600</v>
      </c>
      <c r="J59" s="44">
        <f>SUM(J55:J58)</f>
        <v>1600</v>
      </c>
      <c r="K59" s="44">
        <f>SUM(K55:K58)</f>
        <v>1615</v>
      </c>
      <c r="L59" s="45"/>
      <c r="N59" s="73" t="s">
        <v>120</v>
      </c>
      <c r="O59" s="39">
        <v>0</v>
      </c>
      <c r="P59" s="25">
        <f>O59-K26+K27</f>
        <v>0</v>
      </c>
    </row>
    <row r="60" spans="2:16" x14ac:dyDescent="0.45">
      <c r="C60" s="73" t="s">
        <v>134</v>
      </c>
      <c r="D60" s="39">
        <v>0</v>
      </c>
      <c r="E60" s="25">
        <f>D60+E33</f>
        <v>0</v>
      </c>
      <c r="F60" s="47"/>
      <c r="J60" s="70"/>
      <c r="K60" s="25"/>
      <c r="L60" s="37"/>
      <c r="N60" s="73" t="s">
        <v>121</v>
      </c>
      <c r="O60" s="39">
        <v>0</v>
      </c>
      <c r="P60" s="25">
        <f>O60+K34-K35</f>
        <v>0</v>
      </c>
    </row>
    <row r="61" spans="2:16" x14ac:dyDescent="0.45">
      <c r="C61" s="16" t="s">
        <v>77</v>
      </c>
      <c r="D61" s="39">
        <v>0</v>
      </c>
      <c r="E61" s="40">
        <f>D61+E30</f>
        <v>0</v>
      </c>
      <c r="F61" s="47"/>
      <c r="H61" s="1" t="s">
        <v>5</v>
      </c>
      <c r="I61" s="41">
        <f>I59+I52</f>
        <v>2000</v>
      </c>
      <c r="J61" s="41">
        <f>J59+J52</f>
        <v>2300</v>
      </c>
      <c r="K61" s="41">
        <f>K59+K52</f>
        <v>2315</v>
      </c>
      <c r="L61" s="51"/>
      <c r="N61" s="69" t="s">
        <v>122</v>
      </c>
      <c r="O61" s="39">
        <v>0</v>
      </c>
      <c r="P61" s="25">
        <f>O61+K30-K31</f>
        <v>0</v>
      </c>
    </row>
    <row r="62" spans="2:16" x14ac:dyDescent="0.45">
      <c r="C62" s="42" t="s">
        <v>2</v>
      </c>
      <c r="D62" s="43">
        <f>SUM(D56:D61)</f>
        <v>400</v>
      </c>
      <c r="E62" s="43">
        <f>SUM(E56:E61)</f>
        <v>420</v>
      </c>
      <c r="F62" s="47"/>
      <c r="L62" s="51"/>
      <c r="N62" s="69" t="s">
        <v>123</v>
      </c>
      <c r="O62" s="39">
        <v>0</v>
      </c>
      <c r="P62" s="25">
        <f>O62+K38-K39</f>
        <v>0</v>
      </c>
    </row>
    <row r="63" spans="2:16" x14ac:dyDescent="0.45">
      <c r="F63" s="47"/>
      <c r="G63" s="67" t="s">
        <v>82</v>
      </c>
      <c r="H63" s="68"/>
      <c r="I63" s="68"/>
      <c r="J63" s="68"/>
      <c r="K63" s="68"/>
      <c r="L63" s="51"/>
      <c r="N63" s="42" t="s">
        <v>9</v>
      </c>
      <c r="O63" s="43">
        <f>SUM(O47:O62)</f>
        <v>300</v>
      </c>
      <c r="P63" s="43">
        <f>SUM(P47:P62)</f>
        <v>300</v>
      </c>
    </row>
    <row r="64" spans="2:16" x14ac:dyDescent="0.45">
      <c r="C64" s="64" t="s">
        <v>83</v>
      </c>
      <c r="D64" s="25">
        <f>-D62*Tax_Rate</f>
        <v>-100</v>
      </c>
      <c r="E64" s="25">
        <f>-E62*Tax_Rate</f>
        <v>-105</v>
      </c>
      <c r="F64" s="46"/>
      <c r="H64" s="1" t="s">
        <v>6</v>
      </c>
      <c r="I64" s="37"/>
      <c r="J64" s="37"/>
      <c r="K64" s="37"/>
      <c r="L64" s="37"/>
    </row>
    <row r="65" spans="2:16" x14ac:dyDescent="0.45">
      <c r="D65" s="25"/>
      <c r="E65" s="40"/>
      <c r="F65" s="47"/>
      <c r="H65" s="16" t="s">
        <v>7</v>
      </c>
      <c r="I65" s="63">
        <v>300</v>
      </c>
      <c r="J65" s="14">
        <f t="shared" ref="J65:K67" si="6">$I65+O60</f>
        <v>300</v>
      </c>
      <c r="K65" s="14">
        <f t="shared" si="6"/>
        <v>300</v>
      </c>
      <c r="L65" s="37"/>
      <c r="M65" s="9" t="s">
        <v>94</v>
      </c>
      <c r="N65" s="9"/>
      <c r="O65" s="9"/>
      <c r="P65" s="9"/>
    </row>
    <row r="66" spans="2:16" x14ac:dyDescent="0.45">
      <c r="C66" s="24" t="s">
        <v>10</v>
      </c>
      <c r="D66" s="49">
        <f>D62+D64</f>
        <v>300</v>
      </c>
      <c r="E66" s="49">
        <f>E62+E64</f>
        <v>315</v>
      </c>
      <c r="F66" s="47"/>
      <c r="H66" s="16" t="s">
        <v>16</v>
      </c>
      <c r="I66" s="39">
        <v>200</v>
      </c>
      <c r="J66" s="40">
        <f t="shared" si="6"/>
        <v>200</v>
      </c>
      <c r="K66" s="40">
        <f t="shared" si="6"/>
        <v>200</v>
      </c>
      <c r="N66" s="16" t="s">
        <v>73</v>
      </c>
      <c r="O66" s="39">
        <v>0</v>
      </c>
      <c r="P66" s="25">
        <f>O66-P17</f>
        <v>0</v>
      </c>
    </row>
    <row r="67" spans="2:16" x14ac:dyDescent="0.45">
      <c r="C67" s="16"/>
      <c r="D67" s="39"/>
      <c r="E67" s="40"/>
      <c r="F67" s="47"/>
      <c r="H67" s="16" t="s">
        <v>11</v>
      </c>
      <c r="I67" s="39">
        <v>200</v>
      </c>
      <c r="J67" s="40">
        <f t="shared" si="6"/>
        <v>200</v>
      </c>
      <c r="K67" s="40">
        <f t="shared" si="6"/>
        <v>200</v>
      </c>
      <c r="L67" s="37"/>
      <c r="N67" s="73" t="s">
        <v>116</v>
      </c>
      <c r="O67" s="39">
        <v>0</v>
      </c>
      <c r="P67" s="25">
        <f>-P23</f>
        <v>0</v>
      </c>
    </row>
    <row r="68" spans="2:16" x14ac:dyDescent="0.45">
      <c r="C68" s="2" t="s">
        <v>67</v>
      </c>
      <c r="D68" s="52">
        <f>Shares_Outstanding</f>
        <v>1000</v>
      </c>
      <c r="E68" s="53">
        <f>D68+E21/Share_Price+P28/Share_Price-P29/Share_Price</f>
        <v>1000</v>
      </c>
      <c r="F68" s="47"/>
      <c r="H68" s="26" t="s">
        <v>8</v>
      </c>
      <c r="I68" s="44">
        <f>SUM(I65:I67)</f>
        <v>700</v>
      </c>
      <c r="J68" s="44">
        <f t="shared" ref="J68:K68" si="7">SUM(J65:J67)</f>
        <v>700</v>
      </c>
      <c r="K68" s="44">
        <f t="shared" si="7"/>
        <v>700</v>
      </c>
      <c r="L68" s="37"/>
      <c r="N68" s="73" t="s">
        <v>138</v>
      </c>
      <c r="O68" s="39">
        <v>0</v>
      </c>
      <c r="P68" s="25">
        <f>O68-P31</f>
        <v>0</v>
      </c>
    </row>
    <row r="69" spans="2:16" x14ac:dyDescent="0.45">
      <c r="B69" s="83"/>
      <c r="C69" s="2" t="s">
        <v>60</v>
      </c>
      <c r="D69" s="54">
        <f>D66/D68</f>
        <v>0.3</v>
      </c>
      <c r="E69" s="55">
        <f>E66/E68</f>
        <v>0.315</v>
      </c>
      <c r="G69" s="1"/>
      <c r="J69" s="50"/>
      <c r="K69" s="50"/>
      <c r="L69" s="37"/>
      <c r="N69" s="73" t="s">
        <v>139</v>
      </c>
      <c r="O69" s="39">
        <v>0</v>
      </c>
      <c r="P69" s="25">
        <f>O69+E33+P32</f>
        <v>0</v>
      </c>
    </row>
    <row r="70" spans="2:16" x14ac:dyDescent="0.45">
      <c r="B70" s="1"/>
      <c r="F70" s="46"/>
      <c r="H70" s="1" t="s">
        <v>21</v>
      </c>
      <c r="L70" s="37"/>
      <c r="N70" s="16" t="s">
        <v>74</v>
      </c>
      <c r="O70" s="39">
        <v>0</v>
      </c>
      <c r="P70" s="25">
        <f>O70+P18+E30</f>
        <v>0</v>
      </c>
    </row>
    <row r="71" spans="2:16" x14ac:dyDescent="0.45">
      <c r="B71" s="1"/>
      <c r="C71" s="1"/>
      <c r="D71" s="84"/>
      <c r="E71" s="84"/>
      <c r="H71" s="73" t="s">
        <v>87</v>
      </c>
      <c r="I71" s="39">
        <v>500</v>
      </c>
      <c r="J71" s="40">
        <f>$I71+O74+O75</f>
        <v>500</v>
      </c>
      <c r="K71" s="40">
        <f>$I71+P74+P75</f>
        <v>500</v>
      </c>
      <c r="L71" s="37"/>
      <c r="N71" s="42" t="s">
        <v>12</v>
      </c>
      <c r="O71" s="43">
        <f>SUM(O66:O70)</f>
        <v>0</v>
      </c>
      <c r="P71" s="43">
        <f>SUM(P66:P70)</f>
        <v>0</v>
      </c>
    </row>
    <row r="72" spans="2:16" x14ac:dyDescent="0.45">
      <c r="B72" s="1"/>
      <c r="C72" s="1"/>
      <c r="D72" s="28"/>
      <c r="E72" s="28"/>
      <c r="H72" s="73" t="s">
        <v>117</v>
      </c>
      <c r="I72" s="39">
        <v>200</v>
      </c>
      <c r="J72" s="40">
        <f>$I72+O76+O77</f>
        <v>200</v>
      </c>
      <c r="K72" s="40">
        <f>$I72+P76+P77</f>
        <v>200</v>
      </c>
      <c r="L72" s="37"/>
      <c r="M72" s="1"/>
    </row>
    <row r="73" spans="2:16" x14ac:dyDescent="0.45">
      <c r="B73" s="1"/>
      <c r="C73" s="1"/>
      <c r="D73" s="28"/>
      <c r="E73" s="28"/>
      <c r="H73" s="26" t="s">
        <v>34</v>
      </c>
      <c r="I73" s="44">
        <f>SUM(I71:I72)</f>
        <v>700</v>
      </c>
      <c r="J73" s="44">
        <f>SUM(J71:J72)</f>
        <v>700</v>
      </c>
      <c r="K73" s="44">
        <f>SUM(K71:K72)</f>
        <v>700</v>
      </c>
      <c r="L73" s="37"/>
      <c r="M73" s="9" t="s">
        <v>95</v>
      </c>
      <c r="N73" s="9"/>
      <c r="O73" s="9"/>
      <c r="P73" s="9"/>
    </row>
    <row r="74" spans="2:16" x14ac:dyDescent="0.45">
      <c r="B74" s="1"/>
      <c r="C74" s="1"/>
      <c r="D74" s="36"/>
      <c r="E74" s="36"/>
      <c r="G74" s="1"/>
      <c r="J74" s="50"/>
      <c r="K74" s="50"/>
      <c r="L74" s="37"/>
      <c r="N74" s="16" t="s">
        <v>79</v>
      </c>
      <c r="O74" s="39">
        <v>0</v>
      </c>
      <c r="P74" s="40">
        <f>O74+P20</f>
        <v>0</v>
      </c>
    </row>
    <row r="75" spans="2:16" x14ac:dyDescent="0.45">
      <c r="B75" s="1"/>
      <c r="C75" s="48"/>
      <c r="D75" s="50"/>
      <c r="E75" s="50"/>
      <c r="H75" s="1" t="s">
        <v>14</v>
      </c>
      <c r="I75" s="49">
        <f>I73+I68</f>
        <v>1400</v>
      </c>
      <c r="J75" s="49">
        <f>J73+J68</f>
        <v>1400</v>
      </c>
      <c r="K75" s="49">
        <f>K73+K68</f>
        <v>1400</v>
      </c>
      <c r="L75" s="47"/>
      <c r="N75" s="16" t="s">
        <v>80</v>
      </c>
      <c r="O75" s="39">
        <v>0</v>
      </c>
      <c r="P75" s="40">
        <f>O75-P21</f>
        <v>0</v>
      </c>
    </row>
    <row r="76" spans="2:16" x14ac:dyDescent="0.45">
      <c r="B76" s="1"/>
      <c r="C76" s="48"/>
      <c r="D76" s="50"/>
      <c r="E76" s="50"/>
      <c r="G76" s="16"/>
      <c r="J76" s="19"/>
      <c r="K76" s="47"/>
      <c r="L76" s="37"/>
      <c r="N76" s="73" t="s">
        <v>91</v>
      </c>
      <c r="O76" s="39">
        <v>0</v>
      </c>
      <c r="P76" s="40">
        <f>O76+P23</f>
        <v>0</v>
      </c>
    </row>
    <row r="77" spans="2:16" x14ac:dyDescent="0.45">
      <c r="B77" s="1"/>
      <c r="C77" s="48"/>
      <c r="D77" s="49"/>
      <c r="E77" s="49"/>
      <c r="H77" s="24" t="s">
        <v>110</v>
      </c>
      <c r="I77" s="77">
        <v>600</v>
      </c>
      <c r="J77" s="49">
        <f>$I77+O51+O79+O80+O47+O78</f>
        <v>900</v>
      </c>
      <c r="K77" s="49">
        <f>$I77+P51+P79+P80+P47+P78</f>
        <v>915</v>
      </c>
      <c r="L77" s="37"/>
      <c r="N77" s="73" t="s">
        <v>132</v>
      </c>
      <c r="O77" s="39">
        <v>0</v>
      </c>
      <c r="P77" s="40">
        <f>O77-P24</f>
        <v>0</v>
      </c>
    </row>
    <row r="78" spans="2:16" x14ac:dyDescent="0.45">
      <c r="B78" s="1"/>
      <c r="C78" s="48"/>
      <c r="D78" s="49"/>
      <c r="E78" s="49"/>
      <c r="H78" s="16"/>
      <c r="I78" s="39"/>
      <c r="J78" s="40"/>
      <c r="K78" s="40"/>
      <c r="L78" s="56"/>
      <c r="M78" s="1"/>
      <c r="N78" s="16" t="s">
        <v>75</v>
      </c>
      <c r="O78" s="39">
        <v>0</v>
      </c>
      <c r="P78" s="40">
        <f>O78-P26</f>
        <v>0</v>
      </c>
    </row>
    <row r="79" spans="2:16" x14ac:dyDescent="0.45">
      <c r="B79" s="1"/>
      <c r="C79" s="1"/>
      <c r="D79" s="49"/>
      <c r="E79" s="49"/>
      <c r="H79" s="1" t="s">
        <v>35</v>
      </c>
      <c r="I79" s="41">
        <f>I75+I77</f>
        <v>2000</v>
      </c>
      <c r="J79" s="41">
        <f t="shared" ref="J79:K79" si="8">J75+J77</f>
        <v>2300</v>
      </c>
      <c r="K79" s="41">
        <f t="shared" si="8"/>
        <v>2315</v>
      </c>
      <c r="L79" s="56"/>
      <c r="N79" s="73" t="s">
        <v>92</v>
      </c>
      <c r="O79" s="39">
        <v>0</v>
      </c>
      <c r="P79" s="40">
        <f>O79+P28</f>
        <v>0</v>
      </c>
    </row>
    <row r="80" spans="2:16" x14ac:dyDescent="0.45">
      <c r="B80" s="1"/>
      <c r="C80" s="1"/>
      <c r="D80" s="57"/>
      <c r="E80" s="57"/>
      <c r="F80" s="25"/>
      <c r="L80" s="56"/>
      <c r="N80" s="73" t="s">
        <v>104</v>
      </c>
      <c r="O80" s="39">
        <v>0</v>
      </c>
      <c r="P80" s="40">
        <f>O80-P29</f>
        <v>0</v>
      </c>
    </row>
    <row r="81" spans="2:16" x14ac:dyDescent="0.45">
      <c r="B81" s="1"/>
      <c r="C81" s="1"/>
      <c r="D81" s="49"/>
      <c r="E81" s="49"/>
      <c r="G81" s="1" t="s">
        <v>46</v>
      </c>
      <c r="I81" s="72">
        <f>I61-I79</f>
        <v>0</v>
      </c>
      <c r="J81" s="72">
        <f>J61-J79</f>
        <v>0</v>
      </c>
      <c r="K81" s="72">
        <f>K61-K79</f>
        <v>0</v>
      </c>
      <c r="L81" s="56"/>
      <c r="N81" s="26" t="s">
        <v>13</v>
      </c>
      <c r="O81" s="43">
        <f>SUM(O74:O80)</f>
        <v>0</v>
      </c>
      <c r="P81" s="43">
        <f>SUM(P74:P80)</f>
        <v>0</v>
      </c>
    </row>
    <row r="82" spans="2:16" x14ac:dyDescent="0.45">
      <c r="B82" s="1"/>
      <c r="C82" s="48"/>
      <c r="D82" s="49"/>
      <c r="E82" s="49"/>
      <c r="L82" s="37"/>
    </row>
    <row r="83" spans="2:16" x14ac:dyDescent="0.45">
      <c r="B83" s="1"/>
      <c r="C83" s="48"/>
      <c r="D83" s="49"/>
      <c r="E83" s="49"/>
      <c r="L83" s="37"/>
      <c r="N83" s="1" t="s">
        <v>31</v>
      </c>
      <c r="O83" s="49">
        <f>$I$48</f>
        <v>100</v>
      </c>
      <c r="P83" s="49">
        <f>$I$48</f>
        <v>100</v>
      </c>
    </row>
    <row r="84" spans="2:16" x14ac:dyDescent="0.45">
      <c r="B84" s="24"/>
      <c r="C84" s="1"/>
      <c r="D84" s="49"/>
      <c r="E84" s="49"/>
      <c r="L84" s="37"/>
    </row>
    <row r="85" spans="2:16" x14ac:dyDescent="0.45">
      <c r="B85" s="24"/>
      <c r="C85" s="1"/>
      <c r="D85" s="1"/>
      <c r="E85" s="1"/>
      <c r="N85" s="1" t="s">
        <v>58</v>
      </c>
      <c r="O85" s="49">
        <f>O81+O71+O63</f>
        <v>300</v>
      </c>
      <c r="P85" s="49">
        <f>P81+P71+P63</f>
        <v>300</v>
      </c>
    </row>
    <row r="86" spans="2:16" x14ac:dyDescent="0.45">
      <c r="B86" s="1"/>
      <c r="C86" s="1"/>
      <c r="D86" s="49"/>
      <c r="E86" s="49"/>
      <c r="N86" s="1" t="s">
        <v>109</v>
      </c>
      <c r="O86" s="41">
        <f>O85+O83</f>
        <v>400</v>
      </c>
      <c r="P86" s="41">
        <f>P85+P83</f>
        <v>400</v>
      </c>
    </row>
    <row r="87" spans="2:16" x14ac:dyDescent="0.45">
      <c r="B87" s="24"/>
      <c r="C87" s="1"/>
      <c r="D87" s="49"/>
      <c r="E87" s="49"/>
      <c r="F87" s="57"/>
    </row>
    <row r="88" spans="2:16" x14ac:dyDescent="0.45">
      <c r="B88" s="1"/>
      <c r="C88" s="1"/>
      <c r="D88" s="1"/>
      <c r="E88" s="1"/>
      <c r="F88" s="58"/>
    </row>
    <row r="89" spans="2:16" x14ac:dyDescent="0.45">
      <c r="B89" s="1"/>
      <c r="C89" s="1"/>
      <c r="D89" s="41"/>
      <c r="E89" s="41"/>
    </row>
    <row r="92" spans="2:16" x14ac:dyDescent="0.45">
      <c r="F92" s="59"/>
    </row>
    <row r="93" spans="2:16" x14ac:dyDescent="0.45">
      <c r="F93" s="60"/>
    </row>
    <row r="94" spans="2:16" x14ac:dyDescent="0.45">
      <c r="F94" s="60"/>
    </row>
    <row r="95" spans="2:16" x14ac:dyDescent="0.45">
      <c r="F95" s="60"/>
    </row>
    <row r="96" spans="2:16" x14ac:dyDescent="0.45">
      <c r="F96" s="60"/>
    </row>
    <row r="97" spans="6:6" x14ac:dyDescent="0.45">
      <c r="F97" s="60"/>
    </row>
    <row r="98" spans="6:6" x14ac:dyDescent="0.45">
      <c r="F98" s="60"/>
    </row>
    <row r="99" spans="6:6" x14ac:dyDescent="0.45">
      <c r="F99" s="60"/>
    </row>
    <row r="100" spans="6:6" x14ac:dyDescent="0.45">
      <c r="F100" s="60"/>
    </row>
    <row r="101" spans="6:6" x14ac:dyDescent="0.45">
      <c r="F101" s="60"/>
    </row>
    <row r="102" spans="6:6" x14ac:dyDescent="0.45">
      <c r="F102" s="60"/>
    </row>
    <row r="103" spans="6:6" x14ac:dyDescent="0.45">
      <c r="F103" s="60"/>
    </row>
    <row r="104" spans="6:6" x14ac:dyDescent="0.45">
      <c r="F104" s="60"/>
    </row>
    <row r="105" spans="6:6" x14ac:dyDescent="0.45">
      <c r="F105" s="60"/>
    </row>
    <row r="106" spans="6:6" x14ac:dyDescent="0.45">
      <c r="F106" s="60"/>
    </row>
    <row r="107" spans="6:6" x14ac:dyDescent="0.45">
      <c r="F107" s="60"/>
    </row>
    <row r="108" spans="6:6" x14ac:dyDescent="0.45">
      <c r="F108" s="60"/>
    </row>
    <row r="109" spans="6:6" x14ac:dyDescent="0.45">
      <c r="F109" s="60"/>
    </row>
    <row r="110" spans="6:6" x14ac:dyDescent="0.45">
      <c r="F110" s="60"/>
    </row>
    <row r="111" spans="6:6" x14ac:dyDescent="0.45">
      <c r="F111" s="60"/>
    </row>
    <row r="112" spans="6:6" x14ac:dyDescent="0.45">
      <c r="F112" s="60"/>
    </row>
    <row r="113" spans="6:11" x14ac:dyDescent="0.45">
      <c r="F113" s="60"/>
    </row>
    <row r="114" spans="6:11" x14ac:dyDescent="0.45">
      <c r="F114" s="60"/>
    </row>
    <row r="115" spans="6:11" x14ac:dyDescent="0.45">
      <c r="F115" s="60"/>
    </row>
    <row r="116" spans="6:11" x14ac:dyDescent="0.45">
      <c r="F116" s="60"/>
    </row>
    <row r="117" spans="6:11" x14ac:dyDescent="0.45">
      <c r="F117" s="60"/>
    </row>
    <row r="118" spans="6:11" x14ac:dyDescent="0.45">
      <c r="F118" s="60"/>
    </row>
    <row r="120" spans="6:11" x14ac:dyDescent="0.45">
      <c r="G120" s="62"/>
      <c r="I120" s="25"/>
      <c r="J120" s="25"/>
      <c r="K120" s="25"/>
    </row>
    <row r="121" spans="6:11" x14ac:dyDescent="0.45">
      <c r="G121" s="62"/>
    </row>
  </sheetData>
  <conditionalFormatting sqref="E46">
    <cfRule type="cellIs" dxfId="85" priority="189" operator="notEqual">
      <formula>$D$46</formula>
    </cfRule>
  </conditionalFormatting>
  <conditionalFormatting sqref="E47">
    <cfRule type="cellIs" dxfId="84" priority="188" operator="notEqual">
      <formula>$D$47</formula>
    </cfRule>
  </conditionalFormatting>
  <conditionalFormatting sqref="E48">
    <cfRule type="cellIs" dxfId="83" priority="187" operator="notEqual">
      <formula>$D$48</formula>
    </cfRule>
  </conditionalFormatting>
  <conditionalFormatting sqref="E50">
    <cfRule type="cellIs" dxfId="82" priority="186" operator="notEqual">
      <formula>$D$50</formula>
    </cfRule>
  </conditionalFormatting>
  <conditionalFormatting sqref="E51">
    <cfRule type="cellIs" dxfId="81" priority="185" operator="notEqual">
      <formula>$D$51</formula>
    </cfRule>
  </conditionalFormatting>
  <conditionalFormatting sqref="E52">
    <cfRule type="cellIs" dxfId="80" priority="12" operator="notEqual">
      <formula>$D$52</formula>
    </cfRule>
  </conditionalFormatting>
  <conditionalFormatting sqref="E53">
    <cfRule type="cellIs" dxfId="79" priority="184" operator="notEqual">
      <formula>$D$53</formula>
    </cfRule>
  </conditionalFormatting>
  <conditionalFormatting sqref="E54">
    <cfRule type="cellIs" dxfId="78" priority="8" operator="notEqual">
      <formula>$D$54</formula>
    </cfRule>
  </conditionalFormatting>
  <conditionalFormatting sqref="E56">
    <cfRule type="cellIs" dxfId="77" priority="13" operator="notEqual">
      <formula>$D$56</formula>
    </cfRule>
  </conditionalFormatting>
  <conditionalFormatting sqref="E57">
    <cfRule type="cellIs" dxfId="76" priority="181" operator="notEqual">
      <formula>$D$57</formula>
    </cfRule>
  </conditionalFormatting>
  <conditionalFormatting sqref="E58">
    <cfRule type="cellIs" dxfId="75" priority="180" operator="notEqual">
      <formula>$D$58</formula>
    </cfRule>
  </conditionalFormatting>
  <conditionalFormatting sqref="E59">
    <cfRule type="cellIs" dxfId="74" priority="7" operator="notEqual">
      <formula>$D$59</formula>
    </cfRule>
  </conditionalFormatting>
  <conditionalFormatting sqref="E60">
    <cfRule type="cellIs" dxfId="73" priority="6" operator="notEqual">
      <formula>$D$60</formula>
    </cfRule>
  </conditionalFormatting>
  <conditionalFormatting sqref="E61">
    <cfRule type="cellIs" dxfId="72" priority="179" operator="notEqual">
      <formula>$D$61</formula>
    </cfRule>
  </conditionalFormatting>
  <conditionalFormatting sqref="E62">
    <cfRule type="cellIs" dxfId="71" priority="175" operator="notEqual">
      <formula>$D$62</formula>
    </cfRule>
  </conditionalFormatting>
  <conditionalFormatting sqref="E64">
    <cfRule type="cellIs" dxfId="70" priority="174" operator="notEqual">
      <formula>$D$64</formula>
    </cfRule>
  </conditionalFormatting>
  <conditionalFormatting sqref="E66">
    <cfRule type="cellIs" dxfId="69" priority="171" operator="notEqual">
      <formula>$D$66</formula>
    </cfRule>
  </conditionalFormatting>
  <conditionalFormatting sqref="E67">
    <cfRule type="cellIs" dxfId="68" priority="107" operator="notEqual">
      <formula>$D$67</formula>
    </cfRule>
  </conditionalFormatting>
  <conditionalFormatting sqref="E68">
    <cfRule type="cellIs" dxfId="67" priority="110" operator="notEqual">
      <formula>$D$68</formula>
    </cfRule>
  </conditionalFormatting>
  <conditionalFormatting sqref="E69">
    <cfRule type="cellIs" dxfId="66" priority="109" operator="notEqual">
      <formula>$D$69</formula>
    </cfRule>
  </conditionalFormatting>
  <conditionalFormatting sqref="E74">
    <cfRule type="cellIs" dxfId="65" priority="31" operator="notEqual">
      <formula>$D$74</formula>
    </cfRule>
  </conditionalFormatting>
  <conditionalFormatting sqref="E75">
    <cfRule type="cellIs" dxfId="64" priority="30" operator="notEqual">
      <formula>$D$75</formula>
    </cfRule>
  </conditionalFormatting>
  <conditionalFormatting sqref="E76">
    <cfRule type="cellIs" dxfId="63" priority="29" operator="notEqual">
      <formula>$D$76</formula>
    </cfRule>
  </conditionalFormatting>
  <conditionalFormatting sqref="E77">
    <cfRule type="cellIs" dxfId="62" priority="28" operator="notEqual">
      <formula>$D$77</formula>
    </cfRule>
  </conditionalFormatting>
  <conditionalFormatting sqref="E78">
    <cfRule type="cellIs" dxfId="61" priority="27" operator="notEqual">
      <formula>$D$78</formula>
    </cfRule>
  </conditionalFormatting>
  <conditionalFormatting sqref="E81">
    <cfRule type="cellIs" dxfId="60" priority="26" operator="notEqual">
      <formula>$D$81</formula>
    </cfRule>
  </conditionalFormatting>
  <conditionalFormatting sqref="E82">
    <cfRule type="cellIs" dxfId="59" priority="25" operator="notEqual">
      <formula>$D$82</formula>
    </cfRule>
  </conditionalFormatting>
  <conditionalFormatting sqref="E83">
    <cfRule type="cellIs" dxfId="58" priority="24" operator="notEqual">
      <formula>$D$83</formula>
    </cfRule>
  </conditionalFormatting>
  <conditionalFormatting sqref="E84">
    <cfRule type="cellIs" dxfId="57" priority="23" operator="notEqual">
      <formula>$D$84</formula>
    </cfRule>
  </conditionalFormatting>
  <conditionalFormatting sqref="E86">
    <cfRule type="cellIs" dxfId="56" priority="22" operator="notEqual">
      <formula>$D$86</formula>
    </cfRule>
  </conditionalFormatting>
  <conditionalFormatting sqref="E87">
    <cfRule type="cellIs" dxfId="55" priority="21" operator="notEqual">
      <formula>$D$87</formula>
    </cfRule>
  </conditionalFormatting>
  <conditionalFormatting sqref="E89">
    <cfRule type="cellIs" dxfId="54" priority="20" operator="notEqual">
      <formula>$D$89</formula>
    </cfRule>
  </conditionalFormatting>
  <conditionalFormatting sqref="K48">
    <cfRule type="cellIs" dxfId="53" priority="75" operator="notEqual">
      <formula>$J$48</formula>
    </cfRule>
  </conditionalFormatting>
  <conditionalFormatting sqref="K49">
    <cfRule type="cellIs" dxfId="52" priority="74" operator="notEqual">
      <formula>$J$49</formula>
    </cfRule>
  </conditionalFormatting>
  <conditionalFormatting sqref="K50">
    <cfRule type="cellIs" dxfId="51" priority="73" operator="notEqual">
      <formula>$J$50</formula>
    </cfRule>
  </conditionalFormatting>
  <conditionalFormatting sqref="K51">
    <cfRule type="cellIs" dxfId="50" priority="72" operator="notEqual">
      <formula>$J$51</formula>
    </cfRule>
  </conditionalFormatting>
  <conditionalFormatting sqref="K52">
    <cfRule type="cellIs" dxfId="49" priority="165" stopIfTrue="1" operator="notEqual">
      <formula>$J$52</formula>
    </cfRule>
  </conditionalFormatting>
  <conditionalFormatting sqref="K55">
    <cfRule type="cellIs" dxfId="48" priority="76" operator="notEqual">
      <formula>$J$55</formula>
    </cfRule>
  </conditionalFormatting>
  <conditionalFormatting sqref="K56">
    <cfRule type="cellIs" dxfId="47" priority="10" operator="notEqual">
      <formula>$J$56</formula>
    </cfRule>
  </conditionalFormatting>
  <conditionalFormatting sqref="K57">
    <cfRule type="cellIs" dxfId="46" priority="5" operator="notEqual">
      <formula>$J$57</formula>
    </cfRule>
  </conditionalFormatting>
  <conditionalFormatting sqref="K58">
    <cfRule type="cellIs" dxfId="45" priority="64" operator="notEqual">
      <formula>$J$58</formula>
    </cfRule>
  </conditionalFormatting>
  <conditionalFormatting sqref="K59">
    <cfRule type="cellIs" dxfId="44" priority="63" operator="notEqual">
      <formula>$J$59</formula>
    </cfRule>
  </conditionalFormatting>
  <conditionalFormatting sqref="K61">
    <cfRule type="cellIs" dxfId="43" priority="159" stopIfTrue="1" operator="notEqual">
      <formula>$J$61</formula>
    </cfRule>
  </conditionalFormatting>
  <conditionalFormatting sqref="K65">
    <cfRule type="cellIs" dxfId="42" priority="157" stopIfTrue="1" operator="notEqual">
      <formula>$J$65</formula>
    </cfRule>
  </conditionalFormatting>
  <conditionalFormatting sqref="K66">
    <cfRule type="cellIs" dxfId="41" priority="156" stopIfTrue="1" operator="notEqual">
      <formula>$J$66</formula>
    </cfRule>
  </conditionalFormatting>
  <conditionalFormatting sqref="K67">
    <cfRule type="cellIs" dxfId="40" priority="154" stopIfTrue="1" operator="notEqual">
      <formula>$J$67</formula>
    </cfRule>
  </conditionalFormatting>
  <conditionalFormatting sqref="K68">
    <cfRule type="cellIs" dxfId="39" priority="155" stopIfTrue="1" operator="notEqual">
      <formula>$J$68</formula>
    </cfRule>
  </conditionalFormatting>
  <conditionalFormatting sqref="K71">
    <cfRule type="cellIs" dxfId="38" priority="152" stopIfTrue="1" operator="notEqual">
      <formula>$J$71</formula>
    </cfRule>
  </conditionalFormatting>
  <conditionalFormatting sqref="K72">
    <cfRule type="cellIs" dxfId="37" priority="81" operator="notEqual">
      <formula>$J$72</formula>
    </cfRule>
  </conditionalFormatting>
  <conditionalFormatting sqref="K73">
    <cfRule type="cellIs" dxfId="36" priority="49" operator="notEqual">
      <formula>$J$73</formula>
    </cfRule>
  </conditionalFormatting>
  <conditionalFormatting sqref="K75">
    <cfRule type="cellIs" dxfId="35" priority="150" stopIfTrue="1" operator="notEqual">
      <formula>$J$75</formula>
    </cfRule>
  </conditionalFormatting>
  <conditionalFormatting sqref="K77">
    <cfRule type="cellIs" dxfId="34" priority="35" operator="notEqual">
      <formula>$J$77</formula>
    </cfRule>
  </conditionalFormatting>
  <conditionalFormatting sqref="K78">
    <cfRule type="cellIs" dxfId="33" priority="108" operator="notEqual">
      <formula>$J$78</formula>
    </cfRule>
  </conditionalFormatting>
  <conditionalFormatting sqref="K79">
    <cfRule type="cellIs" dxfId="32" priority="144" stopIfTrue="1" operator="notEqual">
      <formula>$J$79</formula>
    </cfRule>
  </conditionalFormatting>
  <conditionalFormatting sqref="P47">
    <cfRule type="cellIs" dxfId="31" priority="143" stopIfTrue="1" operator="notEqual">
      <formula>$O$47</formula>
    </cfRule>
  </conditionalFormatting>
  <conditionalFormatting sqref="P49">
    <cfRule type="cellIs" dxfId="30" priority="142" stopIfTrue="1" operator="notEqual">
      <formula>$O$49</formula>
    </cfRule>
  </conditionalFormatting>
  <conditionalFormatting sqref="P50">
    <cfRule type="cellIs" dxfId="29" priority="11" stopIfTrue="1" operator="notEqual">
      <formula>$O$50</formula>
    </cfRule>
  </conditionalFormatting>
  <conditionalFormatting sqref="P51">
    <cfRule type="cellIs" dxfId="28" priority="141" stopIfTrue="1" operator="notEqual">
      <formula>$O$51</formula>
    </cfRule>
  </conditionalFormatting>
  <conditionalFormatting sqref="P52">
    <cfRule type="cellIs" dxfId="27" priority="139" operator="notEqual">
      <formula>$O$52</formula>
    </cfRule>
  </conditionalFormatting>
  <conditionalFormatting sqref="P53">
    <cfRule type="cellIs" dxfId="26" priority="138" stopIfTrue="1" operator="notEqual">
      <formula>$O$53</formula>
    </cfRule>
  </conditionalFormatting>
  <conditionalFormatting sqref="P54">
    <cfRule type="cellIs" dxfId="25" priority="4" operator="notEqual">
      <formula>$O$54</formula>
    </cfRule>
  </conditionalFormatting>
  <conditionalFormatting sqref="P55">
    <cfRule type="cellIs" dxfId="24" priority="3" operator="notEqual">
      <formula>$O$55</formula>
    </cfRule>
  </conditionalFormatting>
  <conditionalFormatting sqref="P57">
    <cfRule type="cellIs" dxfId="23" priority="134" operator="notEqual">
      <formula>$O$57</formula>
    </cfRule>
  </conditionalFormatting>
  <conditionalFormatting sqref="P58">
    <cfRule type="cellIs" dxfId="22" priority="133" operator="notEqual">
      <formula>$O$58</formula>
    </cfRule>
  </conditionalFormatting>
  <conditionalFormatting sqref="P59">
    <cfRule type="cellIs" dxfId="21" priority="132" operator="notEqual">
      <formula>$O$59</formula>
    </cfRule>
  </conditionalFormatting>
  <conditionalFormatting sqref="P60">
    <cfRule type="cellIs" dxfId="20" priority="131" operator="notEqual">
      <formula>$O$60</formula>
    </cfRule>
  </conditionalFormatting>
  <conditionalFormatting sqref="P61">
    <cfRule type="cellIs" dxfId="19" priority="130" operator="notEqual">
      <formula>$O$61</formula>
    </cfRule>
  </conditionalFormatting>
  <conditionalFormatting sqref="P62">
    <cfRule type="cellIs" dxfId="18" priority="129" operator="notEqual">
      <formula>$O$62</formula>
    </cfRule>
  </conditionalFormatting>
  <conditionalFormatting sqref="P63">
    <cfRule type="cellIs" dxfId="17" priority="43" operator="notEqual">
      <formula>$O$63</formula>
    </cfRule>
  </conditionalFormatting>
  <conditionalFormatting sqref="P66">
    <cfRule type="cellIs" dxfId="16" priority="124" stopIfTrue="1" operator="notEqual">
      <formula>$O$66</formula>
    </cfRule>
  </conditionalFormatting>
  <conditionalFormatting sqref="P67">
    <cfRule type="cellIs" dxfId="15" priority="9" stopIfTrue="1" operator="notEqual">
      <formula>$O$67</formula>
    </cfRule>
  </conditionalFormatting>
  <conditionalFormatting sqref="P68">
    <cfRule type="cellIs" dxfId="14" priority="2" operator="notEqual">
      <formula>$O$68</formula>
    </cfRule>
  </conditionalFormatting>
  <conditionalFormatting sqref="P69">
    <cfRule type="cellIs" dxfId="13" priority="1" operator="notEqual">
      <formula>$O$69</formula>
    </cfRule>
  </conditionalFormatting>
  <conditionalFormatting sqref="P70">
    <cfRule type="cellIs" dxfId="12" priority="123" stopIfTrue="1" operator="notEqual">
      <formula>$O$70</formula>
    </cfRule>
  </conditionalFormatting>
  <conditionalFormatting sqref="P71">
    <cfRule type="cellIs" dxfId="11" priority="122" stopIfTrue="1" operator="notEqual">
      <formula>$O$71</formula>
    </cfRule>
  </conditionalFormatting>
  <conditionalFormatting sqref="P74">
    <cfRule type="cellIs" dxfId="10" priority="120" operator="notEqual">
      <formula>$O$74</formula>
    </cfRule>
  </conditionalFormatting>
  <conditionalFormatting sqref="P75">
    <cfRule type="cellIs" dxfId="9" priority="119" operator="notEqual">
      <formula>$O$75</formula>
    </cfRule>
  </conditionalFormatting>
  <conditionalFormatting sqref="P76">
    <cfRule type="cellIs" dxfId="8" priority="84" operator="notEqual">
      <formula>$O$76</formula>
    </cfRule>
  </conditionalFormatting>
  <conditionalFormatting sqref="P77">
    <cfRule type="cellIs" dxfId="7" priority="83" operator="notEqual">
      <formula>$O$77</formula>
    </cfRule>
  </conditionalFormatting>
  <conditionalFormatting sqref="P78">
    <cfRule type="cellIs" dxfId="6" priority="121" operator="notEqual">
      <formula>$O$78</formula>
    </cfRule>
  </conditionalFormatting>
  <conditionalFormatting sqref="P79">
    <cfRule type="cellIs" dxfId="5" priority="115" operator="notEqual">
      <formula>$O$79</formula>
    </cfRule>
  </conditionalFormatting>
  <conditionalFormatting sqref="P80">
    <cfRule type="cellIs" dxfId="4" priority="116" operator="notEqual">
      <formula>$O$80</formula>
    </cfRule>
  </conditionalFormatting>
  <conditionalFormatting sqref="P81">
    <cfRule type="cellIs" dxfId="3" priority="114" operator="notEqual">
      <formula>$O$81</formula>
    </cfRule>
  </conditionalFormatting>
  <conditionalFormatting sqref="P83">
    <cfRule type="cellIs" dxfId="2" priority="113" operator="notEqual">
      <formula>$O$83</formula>
    </cfRule>
  </conditionalFormatting>
  <conditionalFormatting sqref="P85">
    <cfRule type="cellIs" dxfId="1" priority="112" operator="notEqual">
      <formula>$O$85</formula>
    </cfRule>
  </conditionalFormatting>
  <conditionalFormatting sqref="P86">
    <cfRule type="cellIs" dxfId="0" priority="111" operator="notEqual">
      <formula>$O$86</formula>
    </cfRule>
  </conditionalFormatting>
  <dataValidations count="2">
    <dataValidation type="decimal" operator="greaterThanOrEqual" allowBlank="1" showInputMessage="1" showErrorMessage="1" sqref="E17:E18 D57 D46 P17:P18 O70 O74 O79 K18:K19 K22:K23 K30:K31 K34:K35 K38:K39 K26:K27 E39 P26 E36:E37 P28:P29 P23:P24 P20:P21 E27:E28 E20:E25 P31:P32" xr:uid="{00000000-0002-0000-0100-000000000000}">
      <formula1>0</formula1>
    </dataValidation>
    <dataValidation type="decimal" operator="lessThanOrEqual" allowBlank="1" showInputMessage="1" showErrorMessage="1" sqref="D58 O66 D67:E67 O75 O80 O78 D47 D50:D53" xr:uid="{00000000-0002-0000-0100-000001000000}">
      <formula1>0</formula1>
    </dataValidation>
  </dataValidations>
  <pageMargins left="0.7" right="0.7" top="0.75" bottom="0.75" header="0.3" footer="0.3"/>
  <pageSetup scale="47" orientation="landscape" r:id="rId1"/>
  <rowBreaks count="1" manualBreakCount="1">
    <brk id="40" max="1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FA08-313C-4327-982D-30B9726F806B}">
  <sheetPr>
    <pageSetUpPr autoPageBreaks="0"/>
  </sheetPr>
  <dimension ref="B2:Q24"/>
  <sheetViews>
    <sheetView showGridLines="0" zoomScaleNormal="100" workbookViewId="0">
      <selection activeCell="B2" sqref="B2"/>
    </sheetView>
  </sheetViews>
  <sheetFormatPr defaultColWidth="9.15234375" defaultRowHeight="15.9" x14ac:dyDescent="0.45"/>
  <cols>
    <col min="1" max="2" width="2.69140625" style="80" customWidth="1"/>
    <col min="3" max="16" width="12.69140625" style="80" customWidth="1"/>
    <col min="17" max="17" width="2.69140625" style="80" customWidth="1"/>
    <col min="18" max="16384" width="9.15234375" style="80"/>
  </cols>
  <sheetData>
    <row r="2" spans="2:17" ht="18.45" x14ac:dyDescent="0.5">
      <c r="B2" s="61" t="s">
        <v>151</v>
      </c>
    </row>
    <row r="3" spans="2:17" x14ac:dyDescent="0.45">
      <c r="B3" s="80" t="s">
        <v>63</v>
      </c>
    </row>
    <row r="5" spans="2:17" x14ac:dyDescent="0.45">
      <c r="B5" s="3" t="s">
        <v>169</v>
      </c>
      <c r="C5" s="114"/>
      <c r="D5" s="114"/>
      <c r="E5" s="112" t="s">
        <v>170</v>
      </c>
      <c r="F5" s="111"/>
      <c r="G5" s="111"/>
      <c r="H5" s="111"/>
      <c r="I5" s="3"/>
      <c r="J5" s="114"/>
      <c r="K5" s="112" t="str">
        <f>$E$5</f>
        <v>Units:</v>
      </c>
      <c r="L5" s="114"/>
      <c r="M5" s="114"/>
      <c r="N5" s="114"/>
      <c r="O5" s="114"/>
      <c r="P5" s="114"/>
      <c r="Q5" s="115"/>
    </row>
    <row r="7" spans="2:17" x14ac:dyDescent="0.45">
      <c r="C7" s="78" t="s">
        <v>61</v>
      </c>
      <c r="E7" s="96" t="s">
        <v>171</v>
      </c>
      <c r="F7" s="109">
        <v>319.08999999999997</v>
      </c>
      <c r="H7" s="116"/>
      <c r="I7" s="117"/>
      <c r="J7" s="117"/>
      <c r="K7" s="118"/>
      <c r="L7" s="119" t="s">
        <v>174</v>
      </c>
      <c r="M7" s="119" t="s">
        <v>175</v>
      </c>
      <c r="N7" s="119" t="s">
        <v>175</v>
      </c>
      <c r="O7" s="119"/>
      <c r="P7" s="91"/>
    </row>
    <row r="8" spans="2:17" x14ac:dyDescent="0.45">
      <c r="C8" s="78" t="s">
        <v>163</v>
      </c>
      <c r="E8" s="96" t="s">
        <v>172</v>
      </c>
      <c r="F8" s="110">
        <v>12151</v>
      </c>
      <c r="H8" s="9" t="s">
        <v>173</v>
      </c>
      <c r="I8" s="93"/>
      <c r="J8" s="93"/>
      <c r="K8" s="94"/>
      <c r="L8" s="95">
        <v>46022</v>
      </c>
      <c r="M8" s="95">
        <v>46203</v>
      </c>
      <c r="N8" s="95">
        <v>45838</v>
      </c>
      <c r="O8" s="95" t="s">
        <v>152</v>
      </c>
      <c r="P8" s="92"/>
    </row>
    <row r="9" spans="2:17" x14ac:dyDescent="0.45">
      <c r="C9" s="78"/>
      <c r="E9" s="87"/>
    </row>
    <row r="10" spans="2:17" x14ac:dyDescent="0.45">
      <c r="C10" s="24" t="s">
        <v>146</v>
      </c>
      <c r="E10" s="96" t="s">
        <v>153</v>
      </c>
      <c r="F10" s="88">
        <f>+F7*F8</f>
        <v>3877262.59</v>
      </c>
      <c r="H10" s="1" t="s">
        <v>155</v>
      </c>
      <c r="K10" s="96" t="s">
        <v>153</v>
      </c>
      <c r="L10" s="97">
        <v>132170</v>
      </c>
      <c r="M10" s="97">
        <v>174685</v>
      </c>
      <c r="N10" s="97">
        <v>62736</v>
      </c>
      <c r="O10" s="103">
        <f>L10+M10-N10</f>
        <v>244119</v>
      </c>
      <c r="P10" s="41"/>
    </row>
    <row r="11" spans="2:17" x14ac:dyDescent="0.45">
      <c r="C11" s="73" t="s">
        <v>147</v>
      </c>
      <c r="E11" s="96" t="s">
        <v>153</v>
      </c>
      <c r="F11" s="98">
        <v>101085</v>
      </c>
      <c r="H11" s="73"/>
      <c r="K11" s="96"/>
      <c r="L11" s="81"/>
      <c r="M11" s="81"/>
      <c r="N11" s="81"/>
      <c r="O11" s="40"/>
      <c r="P11" s="81"/>
    </row>
    <row r="12" spans="2:17" x14ac:dyDescent="0.45">
      <c r="C12" s="73" t="s">
        <v>148</v>
      </c>
      <c r="E12" s="96" t="s">
        <v>153</v>
      </c>
      <c r="F12" s="98">
        <v>18023</v>
      </c>
      <c r="H12" s="1" t="s">
        <v>154</v>
      </c>
      <c r="K12" s="96" t="s">
        <v>153</v>
      </c>
      <c r="L12" s="104">
        <v>129039</v>
      </c>
      <c r="M12" s="104">
        <v>80466</v>
      </c>
      <c r="N12" s="104">
        <v>61877</v>
      </c>
      <c r="O12" s="50">
        <f t="shared" ref="O12:O17" si="0">L12+M12-N12</f>
        <v>147628</v>
      </c>
      <c r="P12" s="81"/>
    </row>
    <row r="13" spans="2:17" x14ac:dyDescent="0.45">
      <c r="C13" s="73" t="s">
        <v>149</v>
      </c>
      <c r="E13" s="96" t="s">
        <v>153</v>
      </c>
      <c r="F13" s="98">
        <v>7100</v>
      </c>
      <c r="H13" s="73" t="s">
        <v>69</v>
      </c>
      <c r="K13" s="96" t="s">
        <v>153</v>
      </c>
      <c r="L13" s="98">
        <v>4337</v>
      </c>
      <c r="M13" s="98">
        <v>2811</v>
      </c>
      <c r="N13" s="98">
        <v>2051</v>
      </c>
      <c r="O13" s="40">
        <f t="shared" si="0"/>
        <v>5097</v>
      </c>
      <c r="P13" s="81"/>
    </row>
    <row r="14" spans="2:17" x14ac:dyDescent="0.45">
      <c r="C14" s="73" t="s">
        <v>167</v>
      </c>
      <c r="E14" s="96" t="s">
        <v>153</v>
      </c>
      <c r="F14" s="98">
        <v>-55911</v>
      </c>
      <c r="H14" s="73" t="s">
        <v>70</v>
      </c>
      <c r="K14" s="96" t="s">
        <v>153</v>
      </c>
      <c r="L14" s="98">
        <v>-736</v>
      </c>
      <c r="M14" s="98">
        <v>-1811</v>
      </c>
      <c r="N14" s="98">
        <v>-295</v>
      </c>
      <c r="O14" s="49">
        <f t="shared" si="0"/>
        <v>-2252</v>
      </c>
      <c r="P14" s="81"/>
    </row>
    <row r="15" spans="2:17" x14ac:dyDescent="0.45">
      <c r="C15" s="73" t="s">
        <v>166</v>
      </c>
      <c r="E15" s="113" t="s">
        <v>153</v>
      </c>
      <c r="F15" s="107">
        <f>-186563-131461</f>
        <v>-318024</v>
      </c>
      <c r="H15" s="73" t="s">
        <v>156</v>
      </c>
      <c r="K15" s="96" t="s">
        <v>153</v>
      </c>
      <c r="L15" s="98">
        <v>-382</v>
      </c>
      <c r="M15" s="98">
        <v>-14</v>
      </c>
      <c r="N15" s="98">
        <v>-175</v>
      </c>
      <c r="O15" s="40">
        <f t="shared" si="0"/>
        <v>-221</v>
      </c>
      <c r="P15" s="41"/>
    </row>
    <row r="16" spans="2:17" x14ac:dyDescent="0.45">
      <c r="C16" s="26" t="s">
        <v>150</v>
      </c>
      <c r="D16" s="89"/>
      <c r="E16" s="96" t="s">
        <v>153</v>
      </c>
      <c r="F16" s="90">
        <f>SUM(F10:F14)</f>
        <v>3947559.59</v>
      </c>
      <c r="H16" s="73" t="s">
        <v>157</v>
      </c>
      <c r="K16" s="96" t="s">
        <v>153</v>
      </c>
      <c r="L16" s="98">
        <v>281</v>
      </c>
      <c r="M16" s="98">
        <v>25</v>
      </c>
      <c r="N16" s="98">
        <v>397</v>
      </c>
      <c r="O16" s="40">
        <f t="shared" si="0"/>
        <v>-91</v>
      </c>
    </row>
    <row r="17" spans="3:15" x14ac:dyDescent="0.45">
      <c r="H17" s="73" t="s">
        <v>158</v>
      </c>
      <c r="J17" s="105"/>
      <c r="K17" s="99" t="s">
        <v>153</v>
      </c>
      <c r="L17" s="101">
        <v>1667</v>
      </c>
      <c r="M17" s="101">
        <v>-1115</v>
      </c>
      <c r="N17" s="101">
        <v>456</v>
      </c>
      <c r="O17" s="100">
        <f t="shared" si="0"/>
        <v>96</v>
      </c>
    </row>
    <row r="18" spans="3:15" x14ac:dyDescent="0.45">
      <c r="C18" s="9" t="s">
        <v>176</v>
      </c>
      <c r="D18" s="93"/>
      <c r="E18" s="93"/>
      <c r="F18" s="93"/>
      <c r="H18" s="26" t="s">
        <v>159</v>
      </c>
      <c r="I18" s="89"/>
      <c r="K18" s="96" t="s">
        <v>153</v>
      </c>
      <c r="L18" s="43">
        <f>SUM(L12:L17)</f>
        <v>134206</v>
      </c>
      <c r="M18" s="43">
        <f t="shared" ref="M18:N18" si="1">SUM(M12:M17)</f>
        <v>80362</v>
      </c>
      <c r="N18" s="43">
        <f t="shared" si="1"/>
        <v>64311</v>
      </c>
      <c r="O18" s="49">
        <f t="shared" ref="N18:O18" si="2">SUM(O12:O17)</f>
        <v>150257</v>
      </c>
    </row>
    <row r="19" spans="3:15" x14ac:dyDescent="0.45">
      <c r="C19" s="73" t="s">
        <v>177</v>
      </c>
      <c r="E19" s="96" t="s">
        <v>168</v>
      </c>
      <c r="F19" s="120">
        <f>F10/O10</f>
        <v>15.882674392406981</v>
      </c>
    </row>
    <row r="20" spans="3:15" x14ac:dyDescent="0.45">
      <c r="C20" s="73" t="s">
        <v>178</v>
      </c>
      <c r="E20" s="96" t="s">
        <v>168</v>
      </c>
      <c r="F20" s="120">
        <f>F10/O24</f>
        <v>31.452795718776731</v>
      </c>
      <c r="H20" s="80" t="s">
        <v>160</v>
      </c>
      <c r="K20" s="96" t="s">
        <v>161</v>
      </c>
      <c r="L20" s="108">
        <v>0.16800000000000001</v>
      </c>
      <c r="M20" s="108">
        <v>0.191</v>
      </c>
      <c r="N20" s="108">
        <v>0.17100000000000001</v>
      </c>
      <c r="O20" s="106"/>
    </row>
    <row r="21" spans="3:15" x14ac:dyDescent="0.45">
      <c r="H21" s="73" t="s">
        <v>165</v>
      </c>
      <c r="K21" s="96" t="s">
        <v>153</v>
      </c>
      <c r="L21" s="102">
        <f>-L18*L20</f>
        <v>-22546.608</v>
      </c>
      <c r="M21" s="102">
        <f t="shared" ref="M21:N21" si="3">-M18*M20</f>
        <v>-15349.142</v>
      </c>
      <c r="N21" s="102">
        <f t="shared" si="3"/>
        <v>-10997.181</v>
      </c>
      <c r="O21" s="40"/>
    </row>
    <row r="22" spans="3:15" x14ac:dyDescent="0.45">
      <c r="H22" s="73" t="s">
        <v>164</v>
      </c>
      <c r="K22" s="96" t="s">
        <v>153</v>
      </c>
      <c r="L22" s="98">
        <v>0</v>
      </c>
      <c r="M22" s="98">
        <v>-86</v>
      </c>
      <c r="N22" s="98">
        <v>0</v>
      </c>
      <c r="O22" s="40"/>
    </row>
    <row r="24" spans="3:15" x14ac:dyDescent="0.45">
      <c r="H24" s="1" t="s">
        <v>162</v>
      </c>
      <c r="K24" s="96" t="s">
        <v>153</v>
      </c>
      <c r="L24" s="41">
        <f>L18+L21+L22</f>
        <v>111659.39199999999</v>
      </c>
      <c r="M24" s="41">
        <f t="shared" ref="M24:N24" si="4">M18+M21+M22</f>
        <v>64926.858</v>
      </c>
      <c r="N24" s="41">
        <f t="shared" si="4"/>
        <v>53313.819000000003</v>
      </c>
      <c r="O24" s="41">
        <f>L24+M24-N24</f>
        <v>123272.431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Trading_Securities</vt:lpstr>
      <vt:lpstr>GOOG</vt:lpstr>
      <vt:lpstr>Initial_Cash</vt:lpstr>
      <vt:lpstr>Last_FY</vt:lpstr>
      <vt:lpstr>Last_Quarter</vt:lpstr>
      <vt:lpstr>GOOG!Print_Area</vt:lpstr>
      <vt:lpstr>Trading_Securities!Print_Area</vt:lpstr>
      <vt:lpstr>Share_Price</vt:lpstr>
      <vt:lpstr>Shares_Outstanding</vt:lpstr>
      <vt:lpstr>Tax_Rate</vt:lpstr>
    </vt:vector>
  </TitlesOfParts>
  <Company>LENOVO 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cp:lastPrinted>2012-07-08T01:12:53Z</cp:lastPrinted>
  <dcterms:created xsi:type="dcterms:W3CDTF">2009-06-26T05:31:17Z</dcterms:created>
  <dcterms:modified xsi:type="dcterms:W3CDTF">2026-07-28T17:23:07Z</dcterms:modified>
</cp:coreProperties>
</file>