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BIWS Dropbox\Brian DeChesare\BIWS-All-Courses\140-Biotech-Valuation\BIO-01-Course-Intro-Simple-Valuation\"/>
    </mc:Choice>
  </mc:AlternateContent>
  <xr:revisionPtr revIDLastSave="0" documentId="13_ncr:1_{99F581A4-49F6-41B6-A063-23579A669B4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Antios" sheetId="1" r:id="rId1"/>
  </sheets>
  <definedNames>
    <definedName name="Allowed_NOL_Usage">Antios!$L$22</definedName>
    <definedName name="Annual_Price_Growth">Antios!$E$25</definedName>
    <definedName name="Discount_Rate">Antios!$L$25</definedName>
    <definedName name="Generics_Entry_Year">Antios!$E$26</definedName>
    <definedName name="Generics_Price_Drop">Antios!$E$27</definedName>
    <definedName name="Initial_Market_Share">Antios!$E$16</definedName>
    <definedName name="Initial_Year">Antios!$E$17</definedName>
    <definedName name="Margin_Sensitivity">Antios!$L$13</definedName>
    <definedName name="Market_Share_Declines">Antios!$E$22</definedName>
    <definedName name="Min_Market_Share">Antios!$E$23</definedName>
    <definedName name="Pct_Diagnosed">Antios!$E$14</definedName>
    <definedName name="Peak_Market_Share">Antios!$E$19</definedName>
    <definedName name="Peak_Year">Antios!$E$20</definedName>
    <definedName name="_xlnm.Print_Area" localSheetId="0">Antios!$A$1:$Y$137</definedName>
    <definedName name="Tax_Rate">Antios!$L$23</definedName>
  </definedName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4" i="1" l="1"/>
  <c r="D135" i="1" s="1"/>
  <c r="D136" i="1" s="1"/>
  <c r="D133" i="1"/>
  <c r="K131" i="1"/>
  <c r="J131" i="1"/>
  <c r="I131" i="1"/>
  <c r="H131" i="1"/>
  <c r="G131" i="1"/>
  <c r="F131" i="1"/>
  <c r="E131" i="1"/>
  <c r="D124" i="1"/>
  <c r="D125" i="1" s="1"/>
  <c r="D126" i="1" s="1"/>
  <c r="D123" i="1"/>
  <c r="G121" i="1"/>
  <c r="H121" i="1" s="1"/>
  <c r="I121" i="1" s="1"/>
  <c r="J121" i="1" s="1"/>
  <c r="K121" i="1" s="1"/>
  <c r="F121" i="1"/>
  <c r="G111" i="1"/>
  <c r="H111" i="1" s="1"/>
  <c r="I111" i="1" s="1"/>
  <c r="J111" i="1" s="1"/>
  <c r="K111" i="1" s="1"/>
  <c r="F111" i="1"/>
  <c r="D116" i="1"/>
  <c r="D115" i="1"/>
  <c r="D114" i="1"/>
  <c r="D113" i="1"/>
  <c r="D112" i="1"/>
  <c r="D106" i="1"/>
  <c r="D105" i="1"/>
  <c r="D104" i="1"/>
  <c r="D103" i="1"/>
  <c r="D102" i="1"/>
  <c r="G101" i="1"/>
  <c r="H101" i="1" s="1"/>
  <c r="I101" i="1" s="1"/>
  <c r="J101" i="1" s="1"/>
  <c r="K101" i="1" s="1"/>
  <c r="F101" i="1"/>
  <c r="D94" i="1"/>
  <c r="D95" i="1" s="1"/>
  <c r="D96" i="1" s="1"/>
  <c r="D93" i="1"/>
  <c r="G91" i="1"/>
  <c r="H91" i="1" s="1"/>
  <c r="I91" i="1" s="1"/>
  <c r="J91" i="1" s="1"/>
  <c r="K91" i="1" s="1"/>
  <c r="F91" i="1"/>
  <c r="E36" i="1"/>
  <c r="E35" i="1"/>
  <c r="E12" i="1"/>
  <c r="H66" i="1"/>
  <c r="G66" i="1"/>
  <c r="F66" i="1"/>
  <c r="E66" i="1"/>
  <c r="I49" i="1" l="1" a="1"/>
  <c r="I49" i="1" s="1"/>
  <c r="J49" i="1" s="1" a="1"/>
  <c r="J49" i="1" s="1"/>
  <c r="K49" i="1" s="1" a="1"/>
  <c r="K49" i="1" s="1"/>
  <c r="L49" i="1" s="1" a="1"/>
  <c r="L49" i="1" s="1"/>
  <c r="M49" i="1" s="1" a="1"/>
  <c r="M49" i="1" s="1"/>
  <c r="N49" i="1" s="1" a="1"/>
  <c r="N49" i="1" s="1"/>
  <c r="O49" i="1" s="1" a="1"/>
  <c r="O49" i="1" s="1"/>
  <c r="P49" i="1" s="1" a="1"/>
  <c r="P49" i="1" s="1"/>
  <c r="Q49" i="1" s="1" a="1"/>
  <c r="Q49" i="1" s="1"/>
  <c r="R49" i="1" s="1" a="1"/>
  <c r="R49" i="1" s="1"/>
  <c r="S49" i="1" s="1" a="1"/>
  <c r="S49" i="1" s="1"/>
  <c r="T49" i="1" s="1" a="1"/>
  <c r="T49" i="1" s="1"/>
  <c r="U49" i="1" s="1" a="1"/>
  <c r="U49" i="1" s="1"/>
  <c r="V49" i="1" s="1" a="1"/>
  <c r="V49" i="1" s="1"/>
  <c r="W49" i="1" s="1" a="1"/>
  <c r="W49" i="1" s="1"/>
  <c r="X49" i="1" s="1" a="1"/>
  <c r="X49" i="1" s="1"/>
  <c r="H50" i="1"/>
  <c r="E50" i="1"/>
  <c r="E55" i="1" s="1"/>
  <c r="E17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F52" i="1" s="1"/>
  <c r="F47" i="1"/>
  <c r="F50" i="1" s="1"/>
  <c r="G47" i="1"/>
  <c r="G50" i="1" s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E47" i="1"/>
  <c r="G44" i="1"/>
  <c r="H44" i="1"/>
  <c r="I44" i="1"/>
  <c r="J44" i="1"/>
  <c r="K44" i="1"/>
  <c r="L44" i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X44" i="1" s="1"/>
  <c r="F44" i="1"/>
  <c r="F55" i="1" l="1"/>
  <c r="E79" i="1"/>
  <c r="E59" i="1"/>
  <c r="E57" i="1"/>
  <c r="E80" i="1"/>
  <c r="I50" i="1"/>
  <c r="J50" i="1"/>
  <c r="G52" i="1"/>
  <c r="H52" i="1" l="1"/>
  <c r="G55" i="1"/>
  <c r="E62" i="1"/>
  <c r="F59" i="1"/>
  <c r="F57" i="1"/>
  <c r="F80" i="1"/>
  <c r="F79" i="1"/>
  <c r="K50" i="1"/>
  <c r="E42" i="1"/>
  <c r="F39" i="1"/>
  <c r="E63" i="1" l="1"/>
  <c r="E65" i="1"/>
  <c r="F62" i="1"/>
  <c r="G59" i="1"/>
  <c r="G57" i="1"/>
  <c r="G80" i="1"/>
  <c r="G79" i="1"/>
  <c r="I52" i="1"/>
  <c r="H55" i="1"/>
  <c r="L50" i="1"/>
  <c r="G39" i="1"/>
  <c r="F42" i="1"/>
  <c r="G42" i="1"/>
  <c r="G62" i="1" l="1"/>
  <c r="H57" i="1"/>
  <c r="H79" i="1"/>
  <c r="H59" i="1"/>
  <c r="H62" i="1" s="1"/>
  <c r="H80" i="1"/>
  <c r="G63" i="1"/>
  <c r="G65" i="1"/>
  <c r="J52" i="1"/>
  <c r="I55" i="1"/>
  <c r="E69" i="1"/>
  <c r="E70" i="1" s="1"/>
  <c r="E71" i="1" s="1"/>
  <c r="F68" i="1" s="1"/>
  <c r="F63" i="1"/>
  <c r="F65" i="1"/>
  <c r="M50" i="1"/>
  <c r="H39" i="1"/>
  <c r="E73" i="1" l="1"/>
  <c r="E75" i="1" s="1"/>
  <c r="E77" i="1" s="1"/>
  <c r="E82" i="1" s="1"/>
  <c r="I57" i="1"/>
  <c r="I80" i="1"/>
  <c r="I79" i="1"/>
  <c r="I59" i="1"/>
  <c r="I58" i="1"/>
  <c r="I60" i="1"/>
  <c r="G69" i="1"/>
  <c r="F69" i="1"/>
  <c r="F70" i="1" s="1"/>
  <c r="K52" i="1"/>
  <c r="J55" i="1"/>
  <c r="H63" i="1"/>
  <c r="H65" i="1"/>
  <c r="N50" i="1"/>
  <c r="I39" i="1"/>
  <c r="H42" i="1"/>
  <c r="K5" i="1"/>
  <c r="I62" i="1" l="1"/>
  <c r="I63" i="1" s="1"/>
  <c r="I66" i="1" s="1"/>
  <c r="I65" i="1" s="1"/>
  <c r="I69" i="1" s="1"/>
  <c r="F71" i="1"/>
  <c r="G68" i="1" s="1"/>
  <c r="G70" i="1" s="1"/>
  <c r="F73" i="1"/>
  <c r="F75" i="1" s="1"/>
  <c r="F77" i="1" s="1"/>
  <c r="F82" i="1" s="1"/>
  <c r="F83" i="1" s="1"/>
  <c r="J60" i="1"/>
  <c r="J80" i="1"/>
  <c r="J59" i="1"/>
  <c r="J79" i="1"/>
  <c r="J57" i="1"/>
  <c r="J58" i="1"/>
  <c r="E83" i="1"/>
  <c r="L52" i="1"/>
  <c r="K55" i="1"/>
  <c r="H69" i="1"/>
  <c r="O50" i="1"/>
  <c r="J39" i="1"/>
  <c r="I42" i="1"/>
  <c r="J62" i="1" l="1"/>
  <c r="J63" i="1" s="1"/>
  <c r="J66" i="1" s="1"/>
  <c r="J65" i="1" s="1"/>
  <c r="J69" i="1" s="1"/>
  <c r="K80" i="1"/>
  <c r="K79" i="1"/>
  <c r="K59" i="1"/>
  <c r="K57" i="1"/>
  <c r="K58" i="1"/>
  <c r="K60" i="1"/>
  <c r="F84" i="1"/>
  <c r="M52" i="1"/>
  <c r="L55" i="1"/>
  <c r="G71" i="1"/>
  <c r="H68" i="1" s="1"/>
  <c r="H70" i="1" s="1"/>
  <c r="G73" i="1"/>
  <c r="G75" i="1" s="1"/>
  <c r="G77" i="1" s="1"/>
  <c r="G82" i="1" s="1"/>
  <c r="P50" i="1"/>
  <c r="K39" i="1"/>
  <c r="J42" i="1"/>
  <c r="K62" i="1" l="1"/>
  <c r="K63" i="1" s="1"/>
  <c r="K66" i="1" s="1"/>
  <c r="K65" i="1" s="1"/>
  <c r="K69" i="1" s="1"/>
  <c r="H71" i="1"/>
  <c r="I68" i="1" s="1"/>
  <c r="H73" i="1"/>
  <c r="H75" i="1" s="1"/>
  <c r="H77" i="1" s="1"/>
  <c r="H82" i="1" s="1"/>
  <c r="H83" i="1" s="1"/>
  <c r="N52" i="1"/>
  <c r="M55" i="1"/>
  <c r="L80" i="1"/>
  <c r="L79" i="1"/>
  <c r="L57" i="1"/>
  <c r="L59" i="1"/>
  <c r="L58" i="1"/>
  <c r="L60" i="1"/>
  <c r="G83" i="1"/>
  <c r="Q50" i="1"/>
  <c r="L39" i="1"/>
  <c r="K42" i="1"/>
  <c r="L62" i="1" l="1"/>
  <c r="L63" i="1" s="1"/>
  <c r="L66" i="1" s="1"/>
  <c r="L65" i="1" s="1"/>
  <c r="L69" i="1" s="1"/>
  <c r="G84" i="1"/>
  <c r="M80" i="1"/>
  <c r="M57" i="1"/>
  <c r="M79" i="1"/>
  <c r="M58" i="1"/>
  <c r="M60" i="1"/>
  <c r="M59" i="1"/>
  <c r="O52" i="1"/>
  <c r="N55" i="1"/>
  <c r="H84" i="1"/>
  <c r="I70" i="1"/>
  <c r="I73" i="1" s="1"/>
  <c r="I75" i="1" s="1"/>
  <c r="I77" i="1" s="1"/>
  <c r="I82" i="1" s="1"/>
  <c r="R50" i="1"/>
  <c r="M39" i="1"/>
  <c r="L42" i="1"/>
  <c r="M62" i="1" l="1"/>
  <c r="M63" i="1" s="1"/>
  <c r="M66" i="1" s="1"/>
  <c r="M65" i="1" s="1"/>
  <c r="M69" i="1"/>
  <c r="P52" i="1"/>
  <c r="O55" i="1"/>
  <c r="I83" i="1"/>
  <c r="N80" i="1"/>
  <c r="N79" i="1"/>
  <c r="N57" i="1"/>
  <c r="N58" i="1"/>
  <c r="N59" i="1"/>
  <c r="N60" i="1"/>
  <c r="I71" i="1"/>
  <c r="J68" i="1" s="1"/>
  <c r="J70" i="1" s="1"/>
  <c r="S50" i="1"/>
  <c r="N39" i="1"/>
  <c r="M42" i="1"/>
  <c r="N62" i="1" l="1"/>
  <c r="N63" i="1" s="1"/>
  <c r="N66" i="1" s="1"/>
  <c r="N65" i="1" s="1"/>
  <c r="N69" i="1" s="1"/>
  <c r="J71" i="1"/>
  <c r="K68" i="1" s="1"/>
  <c r="J73" i="1"/>
  <c r="J75" i="1" s="1"/>
  <c r="J77" i="1" s="1"/>
  <c r="J82" i="1" s="1"/>
  <c r="O80" i="1"/>
  <c r="O79" i="1"/>
  <c r="O59" i="1"/>
  <c r="O57" i="1"/>
  <c r="O58" i="1"/>
  <c r="O60" i="1"/>
  <c r="I84" i="1"/>
  <c r="Q52" i="1"/>
  <c r="P55" i="1"/>
  <c r="T50" i="1"/>
  <c r="O39" i="1"/>
  <c r="N42" i="1"/>
  <c r="O62" i="1" l="1"/>
  <c r="O63" i="1" s="1"/>
  <c r="O66" i="1" s="1"/>
  <c r="O65" i="1" s="1"/>
  <c r="O69" i="1"/>
  <c r="K70" i="1"/>
  <c r="K73" i="1" s="1"/>
  <c r="K75" i="1" s="1"/>
  <c r="K77" i="1" s="1"/>
  <c r="K82" i="1" s="1"/>
  <c r="K83" i="1" s="1"/>
  <c r="R52" i="1"/>
  <c r="Q55" i="1"/>
  <c r="J83" i="1"/>
  <c r="P80" i="1"/>
  <c r="P79" i="1"/>
  <c r="P60" i="1"/>
  <c r="P57" i="1"/>
  <c r="P58" i="1"/>
  <c r="P59" i="1"/>
  <c r="U50" i="1"/>
  <c r="P39" i="1"/>
  <c r="O42" i="1"/>
  <c r="P62" i="1" l="1"/>
  <c r="P63" i="1" s="1"/>
  <c r="P66" i="1" s="1"/>
  <c r="P65" i="1" s="1"/>
  <c r="P69" i="1" s="1"/>
  <c r="K84" i="1"/>
  <c r="S52" i="1"/>
  <c r="R55" i="1"/>
  <c r="J84" i="1"/>
  <c r="Q79" i="1"/>
  <c r="Q57" i="1"/>
  <c r="Q58" i="1"/>
  <c r="Q59" i="1"/>
  <c r="Q60" i="1"/>
  <c r="Q80" i="1"/>
  <c r="K71" i="1"/>
  <c r="L68" i="1" s="1"/>
  <c r="V50" i="1"/>
  <c r="Q39" i="1"/>
  <c r="P42" i="1"/>
  <c r="Q62" i="1" l="1"/>
  <c r="Q63" i="1" s="1"/>
  <c r="Q66" i="1" s="1"/>
  <c r="Q65" i="1" s="1"/>
  <c r="Q69" i="1" s="1"/>
  <c r="L70" i="1"/>
  <c r="L73" i="1" s="1"/>
  <c r="L75" i="1" s="1"/>
  <c r="L77" i="1" s="1"/>
  <c r="L82" i="1" s="1"/>
  <c r="L83" i="1" s="1"/>
  <c r="R79" i="1"/>
  <c r="R59" i="1"/>
  <c r="R57" i="1"/>
  <c r="R58" i="1"/>
  <c r="R60" i="1"/>
  <c r="R80" i="1"/>
  <c r="T52" i="1"/>
  <c r="S55" i="1"/>
  <c r="X50" i="1"/>
  <c r="W50" i="1"/>
  <c r="R39" i="1"/>
  <c r="Q42" i="1"/>
  <c r="R62" i="1" l="1"/>
  <c r="R63" i="1" s="1"/>
  <c r="R66" i="1" s="1"/>
  <c r="R65" i="1" s="1"/>
  <c r="R69" i="1" s="1"/>
  <c r="U52" i="1"/>
  <c r="T55" i="1"/>
  <c r="L71" i="1"/>
  <c r="M68" i="1" s="1"/>
  <c r="M70" i="1" s="1"/>
  <c r="S79" i="1"/>
  <c r="S57" i="1"/>
  <c r="S58" i="1"/>
  <c r="S59" i="1"/>
  <c r="S60" i="1"/>
  <c r="S80" i="1"/>
  <c r="L84" i="1"/>
  <c r="S39" i="1"/>
  <c r="R42" i="1"/>
  <c r="S62" i="1" l="1"/>
  <c r="S63" i="1" s="1"/>
  <c r="S66" i="1" s="1"/>
  <c r="S65" i="1" s="1"/>
  <c r="M71" i="1"/>
  <c r="N68" i="1" s="1"/>
  <c r="N70" i="1" s="1"/>
  <c r="M73" i="1"/>
  <c r="M75" i="1" s="1"/>
  <c r="M77" i="1" s="1"/>
  <c r="M82" i="1" s="1"/>
  <c r="M83" i="1" s="1"/>
  <c r="M84" i="1" s="1"/>
  <c r="T57" i="1"/>
  <c r="T58" i="1"/>
  <c r="T59" i="1"/>
  <c r="T60" i="1"/>
  <c r="T80" i="1"/>
  <c r="T79" i="1"/>
  <c r="V52" i="1"/>
  <c r="U55" i="1"/>
  <c r="T39" i="1"/>
  <c r="S42" i="1"/>
  <c r="T62" i="1" l="1"/>
  <c r="T63" i="1" s="1"/>
  <c r="T66" i="1" s="1"/>
  <c r="T65" i="1" s="1"/>
  <c r="S69" i="1"/>
  <c r="U57" i="1"/>
  <c r="U58" i="1"/>
  <c r="U59" i="1"/>
  <c r="U60" i="1"/>
  <c r="U80" i="1"/>
  <c r="U79" i="1"/>
  <c r="W52" i="1"/>
  <c r="V55" i="1"/>
  <c r="N71" i="1"/>
  <c r="O68" i="1" s="1"/>
  <c r="O70" i="1" s="1"/>
  <c r="N73" i="1"/>
  <c r="N75" i="1" s="1"/>
  <c r="N77" i="1" s="1"/>
  <c r="N82" i="1" s="1"/>
  <c r="N83" i="1" s="1"/>
  <c r="N84" i="1" s="1"/>
  <c r="U39" i="1"/>
  <c r="T42" i="1"/>
  <c r="O71" i="1" l="1"/>
  <c r="P68" i="1" s="1"/>
  <c r="P70" i="1" s="1"/>
  <c r="O73" i="1"/>
  <c r="O75" i="1" s="1"/>
  <c r="O77" i="1" s="1"/>
  <c r="O82" i="1" s="1"/>
  <c r="O83" i="1" s="1"/>
  <c r="O84" i="1" s="1"/>
  <c r="V58" i="1"/>
  <c r="V59" i="1"/>
  <c r="V60" i="1"/>
  <c r="V80" i="1"/>
  <c r="V57" i="1"/>
  <c r="V79" i="1"/>
  <c r="U62" i="1"/>
  <c r="U63" i="1" s="1"/>
  <c r="U66" i="1" s="1"/>
  <c r="U65" i="1" s="1"/>
  <c r="X52" i="1"/>
  <c r="X55" i="1" s="1"/>
  <c r="W55" i="1"/>
  <c r="T69" i="1"/>
  <c r="V39" i="1"/>
  <c r="U42" i="1"/>
  <c r="V62" i="1" l="1"/>
  <c r="V63" i="1" s="1"/>
  <c r="V66" i="1" s="1"/>
  <c r="V65" i="1" s="1"/>
  <c r="L31" i="1"/>
  <c r="U69" i="1"/>
  <c r="W59" i="1"/>
  <c r="W60" i="1"/>
  <c r="W58" i="1"/>
  <c r="W80" i="1"/>
  <c r="W57" i="1"/>
  <c r="W62" i="1" s="1"/>
  <c r="W63" i="1" s="1"/>
  <c r="W66" i="1" s="1"/>
  <c r="W65" i="1" s="1"/>
  <c r="W79" i="1"/>
  <c r="X60" i="1"/>
  <c r="X79" i="1"/>
  <c r="X57" i="1"/>
  <c r="X58" i="1"/>
  <c r="X80" i="1"/>
  <c r="X59" i="1"/>
  <c r="V69" i="1"/>
  <c r="P71" i="1"/>
  <c r="Q68" i="1" s="1"/>
  <c r="P73" i="1"/>
  <c r="P75" i="1" s="1"/>
  <c r="P77" i="1" s="1"/>
  <c r="P82" i="1" s="1"/>
  <c r="P83" i="1" s="1"/>
  <c r="P84" i="1" s="1"/>
  <c r="W39" i="1"/>
  <c r="V42" i="1"/>
  <c r="X62" i="1" l="1"/>
  <c r="X63" i="1" s="1"/>
  <c r="X66" i="1" s="1"/>
  <c r="X65" i="1" s="1"/>
  <c r="X69" i="1"/>
  <c r="Q70" i="1"/>
  <c r="Q73" i="1" s="1"/>
  <c r="Q75" i="1" s="1"/>
  <c r="Q77" i="1" s="1"/>
  <c r="Q82" i="1" s="1"/>
  <c r="Q83" i="1" s="1"/>
  <c r="Q84" i="1" s="1"/>
  <c r="W69" i="1"/>
  <c r="X39" i="1"/>
  <c r="W42" i="1"/>
  <c r="Q71" i="1" l="1"/>
  <c r="R68" i="1" s="1"/>
  <c r="X42" i="1"/>
  <c r="R70" i="1" l="1"/>
  <c r="R73" i="1" s="1"/>
  <c r="R75" i="1" s="1"/>
  <c r="R77" i="1" s="1"/>
  <c r="R82" i="1" s="1"/>
  <c r="R83" i="1" s="1"/>
  <c r="R84" i="1" s="1"/>
  <c r="R71" i="1" l="1"/>
  <c r="S68" i="1" s="1"/>
  <c r="S70" i="1" s="1"/>
  <c r="S73" i="1" s="1"/>
  <c r="S75" i="1" s="1"/>
  <c r="S77" i="1" s="1"/>
  <c r="S82" i="1" s="1"/>
  <c r="S83" i="1" s="1"/>
  <c r="S84" i="1" s="1"/>
  <c r="S71" i="1" l="1"/>
  <c r="T68" i="1" s="1"/>
  <c r="T70" i="1" s="1"/>
  <c r="T71" i="1" s="1"/>
  <c r="U68" i="1" s="1"/>
  <c r="U70" i="1" s="1"/>
  <c r="T73" i="1" l="1"/>
  <c r="T75" i="1" s="1"/>
  <c r="T77" i="1" s="1"/>
  <c r="T82" i="1" s="1"/>
  <c r="T83" i="1" s="1"/>
  <c r="T84" i="1" s="1"/>
  <c r="U71" i="1"/>
  <c r="V68" i="1" s="1"/>
  <c r="V70" i="1" s="1"/>
  <c r="U73" i="1"/>
  <c r="U75" i="1" s="1"/>
  <c r="U77" i="1" s="1"/>
  <c r="U82" i="1" s="1"/>
  <c r="U83" i="1" s="1"/>
  <c r="U84" i="1" s="1"/>
  <c r="V71" i="1" l="1"/>
  <c r="W68" i="1" s="1"/>
  <c r="W70" i="1" s="1"/>
  <c r="V73" i="1"/>
  <c r="V75" i="1" s="1"/>
  <c r="V77" i="1" s="1"/>
  <c r="V82" i="1" s="1"/>
  <c r="V83" i="1" s="1"/>
  <c r="V84" i="1" s="1"/>
  <c r="W71" i="1" l="1"/>
  <c r="X68" i="1" s="1"/>
  <c r="X70" i="1" s="1"/>
  <c r="W73" i="1"/>
  <c r="W75" i="1" s="1"/>
  <c r="W77" i="1" s="1"/>
  <c r="W82" i="1" s="1"/>
  <c r="W83" i="1" s="1"/>
  <c r="W84" i="1" s="1"/>
  <c r="X71" i="1" l="1"/>
  <c r="X73" i="1"/>
  <c r="X75" i="1" s="1"/>
  <c r="X77" i="1" s="1"/>
  <c r="X82" i="1" s="1"/>
  <c r="X83" i="1" l="1"/>
  <c r="L33" i="1"/>
  <c r="X84" i="1" l="1"/>
  <c r="L34" i="1"/>
  <c r="E31" i="1"/>
  <c r="E33" i="1" s="1"/>
  <c r="E37" i="1" s="1"/>
  <c r="D131" i="1" l="1"/>
  <c r="D111" i="1"/>
  <c r="D101" i="1"/>
  <c r="D91" i="1"/>
  <c r="D1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L22" authorId="0" shapeId="0" xr:uid="{2074E51A-2BDC-44C6-AEC2-58F5A270E529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Under U.S. law (TCJA).</t>
        </r>
      </text>
    </comment>
    <comment ref="E32" authorId="0" shapeId="0" xr:uid="{4556A439-19C3-41EF-968F-9B37BE5AF60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Assuming it's negligible here because cash flows ~20 years in the future are worth little today.</t>
        </r>
      </text>
    </comment>
    <comment ref="E34" authorId="0" shapeId="0" xr:uid="{A0672B66-B655-415E-B231-3BE37A6739D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Factoring these into the cash flow projections directly instead.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<sst xmlns="http://schemas.openxmlformats.org/spreadsheetml/2006/main" count="160" uniqueCount="91">
  <si>
    <t>Phase III to Regulatory Review Probability:</t>
  </si>
  <si>
    <t>Regulatory Review Success Rate:</t>
  </si>
  <si>
    <t>Financial Forecasts:</t>
  </si>
  <si>
    <t>Units:</t>
  </si>
  <si>
    <t>%</t>
  </si>
  <si>
    <t>$ M</t>
  </si>
  <si>
    <t>Assumptions:</t>
  </si>
  <si>
    <t>Phase II</t>
  </si>
  <si>
    <t>Phase III</t>
  </si>
  <si>
    <t>Phase II to Phase III Success Probability:</t>
  </si>
  <si>
    <t>Commercial</t>
  </si>
  <si>
    <t>(-) General &amp; Administrative:</t>
  </si>
  <si>
    <t>(-) Sales &amp; Marketing:</t>
  </si>
  <si>
    <t>(-) Research &amp; Development:</t>
  </si>
  <si>
    <t>Effective Tax Rate:</t>
  </si>
  <si>
    <t>Discount Rate (Not Risk-Adjusted):</t>
  </si>
  <si>
    <t>COGS % Revenue:</t>
  </si>
  <si>
    <t>Sales &amp; Marketing % Revenue:</t>
  </si>
  <si>
    <t>Research &amp; Development % Revenue:</t>
  </si>
  <si>
    <t>General &amp; Administrative % Revenue:</t>
  </si>
  <si>
    <t>Cash Balance:</t>
  </si>
  <si>
    <t>Debt Balance:</t>
  </si>
  <si>
    <t>($ in Millions USD)</t>
  </si>
  <si>
    <t>CapEx and Change in Working Capital % Revenue:</t>
  </si>
  <si>
    <t>Depreciation &amp; Amortization % Revenue:</t>
  </si>
  <si>
    <t>Adults with Chronic HBV:</t>
  </si>
  <si>
    <t>Growth Rate:</t>
  </si>
  <si>
    <t>Addressable Patient Population:</t>
  </si>
  <si>
    <t>ATI-2173 Market Share:</t>
  </si>
  <si>
    <t>Total Patient Count:</t>
  </si>
  <si>
    <t>Average Price per Patient:</t>
  </si>
  <si>
    <t>Unadjusted Potential Revenue:</t>
  </si>
  <si>
    <t>Millions</t>
  </si>
  <si>
    <t>$ as Stated</t>
  </si>
  <si>
    <t>Operating Income (EBIT):</t>
  </si>
  <si>
    <t>% Revenue:</t>
  </si>
  <si>
    <t>(+) Depreciation &amp; Amortization:</t>
  </si>
  <si>
    <t>(-) CapEx and Change in WC:</t>
  </si>
  <si>
    <t>Unlevered Free Cash Flow (UFCF):</t>
  </si>
  <si>
    <t>Probability-Adjusted UFCF:</t>
  </si>
  <si>
    <t>(+) PV of Terminal Value:</t>
  </si>
  <si>
    <t>(-) Debt:</t>
  </si>
  <si>
    <t>Implied Equity Value:</t>
  </si>
  <si>
    <t>% Population Diagnosed w/ Chronic HBV:</t>
  </si>
  <si>
    <t>Peak Market Share Year:</t>
  </si>
  <si>
    <t>Year #</t>
  </si>
  <si>
    <t>Initial Market Share:</t>
  </si>
  <si>
    <t>Year #:</t>
  </si>
  <si>
    <t>Annual Market Share Declines After Peak:</t>
  </si>
  <si>
    <t>Peak Market Share:</t>
  </si>
  <si>
    <t>Minimum Market Share After Peak:</t>
  </si>
  <si>
    <t>Growth Rate in Average Price per Patient:</t>
  </si>
  <si>
    <t>Generics Entry Year:</t>
  </si>
  <si>
    <t>Price Drop in Generics Entry Year:</t>
  </si>
  <si>
    <t>Total Cumulative Unadj. Revenue (Check):</t>
  </si>
  <si>
    <t>Beginning NOL Balance:</t>
  </si>
  <si>
    <t>(+) NOLs Created:</t>
  </si>
  <si>
    <t>(-) NOLs Used:</t>
  </si>
  <si>
    <t>Ending NOL Balance:</t>
  </si>
  <si>
    <t>NOL-Adjusted Operating Income:</t>
  </si>
  <si>
    <t>(-) Cash Taxes:</t>
  </si>
  <si>
    <t>Net Operating Profit After Taxes (NOPAT):</t>
  </si>
  <si>
    <t>Allowed NOL Usage % Taxable Income:</t>
  </si>
  <si>
    <t>Implied Enterprise Value</t>
  </si>
  <si>
    <t>(+) PV of Corporate NOLs:</t>
  </si>
  <si>
    <t>(+) Cash &amp; Cash-Equivalents:</t>
  </si>
  <si>
    <t>(+) PV of ATI-2173 Cash Flows:</t>
  </si>
  <si>
    <t>Initial Year on the Market:</t>
  </si>
  <si>
    <t>Sensitivity Tables:</t>
  </si>
  <si>
    <t>#</t>
  </si>
  <si>
    <t>Discount Rate (WACC):</t>
  </si>
  <si>
    <t>(-) Cost of Goods Sold (COGS):</t>
  </si>
  <si>
    <t>Sensitivity - Commercial Success Probability vs. Discount Rate and Implied Equity Value from DCF Analysis:</t>
  </si>
  <si>
    <t>Phase II to Commercial Success Probability:</t>
  </si>
  <si>
    <t>Sensitivity - Generics Entry Year vs. Discount Rate and Implied Equity Value from DCF Analysis:</t>
  </si>
  <si>
    <t>Sensitivity - Operating Margin in Commercial Period vs. Discount Rate and Implied Equity Value from DCF Analysis:</t>
  </si>
  <si>
    <t>Sensitivity - Peak Market Share vs. Peak Market Share Year:</t>
  </si>
  <si>
    <t>Sensitized Operating Income (EBIT):</t>
  </si>
  <si>
    <t>Sensitized Operating Margin:</t>
  </si>
  <si>
    <t>Operating Margin Sensitivity:</t>
  </si>
  <si>
    <t>Operating Margin Sensitivity in Commercial Period:</t>
  </si>
  <si>
    <t>Sensitivity - Peak Market Share vs. Initial Average Price per Patient:</t>
  </si>
  <si>
    <t>Initial Average Price per Patient:</t>
  </si>
  <si>
    <t>Revenue Assumptions:</t>
  </si>
  <si>
    <t>Expense and Cash Flow Assumptions:</t>
  </si>
  <si>
    <t>Capital Structure and Tax Assumptions:</t>
  </si>
  <si>
    <t>DCF Output:</t>
  </si>
  <si>
    <t>Total Cumulative Unadj. UFCF (Check):</t>
  </si>
  <si>
    <t>Total Cumulative Adj. UFCF (Check):</t>
  </si>
  <si>
    <t>Antios Therapeutics - Financial Projections and Valuation</t>
  </si>
  <si>
    <t>Overall Success Prob. (Phase II to Comm.):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</si>
</sst>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0.0%;\(0.0%\)"/>
    <numFmt numFmtId="166" formatCode="_(* #,##0.0_);_(* \(#,##0.0\);_(* &quot;-&quot;_);_(@_)"/>
    <numFmt numFmtId="167" formatCode="_(* #,##0.0_);_(* \(#,##0.0\);_(* &quot;-&quot;?_);_(@_)"/>
    <numFmt numFmtId="168" formatCode="_(* #,##0.0_);_(* \(#,##0.0\);_(* &quot;-&quot;??_);_(@_)"/>
    <numFmt numFmtId="169" formatCode="_(* #,##0.000_);_(* \(#,##0.000\);_(* &quot;-&quot;?_);_(@_)"/>
    <numFmt numFmtId="170" formatCode="_(&quot;$&quot;* #,##0_);_(&quot;$&quot;* \(#,##0\);_(&quot;$&quot;* &quot;-&quot;?_);_(@_)"/>
    <numFmt numFmtId="171" formatCode="0.00%;\(0.00%\)"/>
    <numFmt numFmtId="172" formatCode="_(* #,##0_);_(* \(#,##0\);_(* &quot;-&quot;?_);_(@_)"/>
    <numFmt numFmtId="173" formatCode="_(0.0%_);\(0.0%\);_(&quot;–&quot;_)_%;_(@_)_%"/>
    <numFmt numFmtId="174" formatCode="_(&quot;$&quot;* #,##0_);_(&quot;$&quot;* \(#,##0\);_(&quot;$&quot;* &quot;-&quot;??_);_(@_)"/>
    <numFmt numFmtId="175" formatCode="_(0.00%_);\(0.00%\);_(&quot;–&quot;_)_%;_(@_)_%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i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5E7C9E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113D63"/>
        <bgColor indexed="64"/>
      </patternFill>
    </fill>
    <fill>
      <patternFill patternType="solid">
        <fgColor rgb="FF5E7C9E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10" fillId="0" borderId="0"/>
    <xf numFmtId="0" fontId="13" fillId="2" borderId="1" applyNumberFormat="0" applyFont="0" applyAlignment="0" applyProtection="0"/>
    <xf numFmtId="0" fontId="16" fillId="0" borderId="0"/>
  </cellStyleXfs>
  <cellXfs count="87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164" fontId="7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42" fontId="7" fillId="3" borderId="1" xfId="0" applyNumberFormat="1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41" fontId="2" fillId="0" borderId="0" xfId="0" applyNumberFormat="1" applyFont="1"/>
    <xf numFmtId="41" fontId="7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4" borderId="2" xfId="0" applyFont="1" applyFill="1" applyBorder="1"/>
    <xf numFmtId="0" fontId="8" fillId="4" borderId="2" xfId="0" applyFont="1" applyFill="1" applyBorder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centerContinuous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0" borderId="0" xfId="1" applyFont="1"/>
    <xf numFmtId="41" fontId="2" fillId="0" borderId="2" xfId="0" applyNumberFormat="1" applyFont="1" applyBorder="1"/>
    <xf numFmtId="0" fontId="6" fillId="0" borderId="2" xfId="0" applyFont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7" fontId="2" fillId="0" borderId="0" xfId="0" applyNumberFormat="1" applyFont="1"/>
    <xf numFmtId="168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170" fontId="7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indent="1"/>
    </xf>
    <xf numFmtId="165" fontId="6" fillId="0" borderId="0" xfId="0" applyNumberFormat="1" applyFont="1"/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1" fontId="4" fillId="0" borderId="0" xfId="0" applyNumberFormat="1" applyFont="1"/>
    <xf numFmtId="0" fontId="6" fillId="0" borderId="0" xfId="0" applyFont="1"/>
    <xf numFmtId="37" fontId="7" fillId="3" borderId="1" xfId="0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171" fontId="7" fillId="3" borderId="1" xfId="0" applyNumberFormat="1" applyFont="1" applyFill="1" applyBorder="1" applyAlignment="1">
      <alignment horizontal="center"/>
    </xf>
    <xf numFmtId="171" fontId="14" fillId="3" borderId="1" xfId="0" applyNumberFormat="1" applyFont="1" applyFill="1" applyBorder="1" applyAlignment="1">
      <alignment horizontal="center"/>
    </xf>
    <xf numFmtId="165" fontId="14" fillId="3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43" fontId="2" fillId="0" borderId="0" xfId="0" applyNumberFormat="1" applyFont="1"/>
    <xf numFmtId="172" fontId="15" fillId="0" borderId="0" xfId="4" applyNumberFormat="1" applyFont="1"/>
    <xf numFmtId="0" fontId="15" fillId="5" borderId="6" xfId="4" applyFont="1" applyFill="1" applyBorder="1"/>
    <xf numFmtId="0" fontId="17" fillId="5" borderId="6" xfId="4" applyFont="1" applyFill="1" applyBorder="1" applyAlignment="1">
      <alignment horizontal="center"/>
    </xf>
    <xf numFmtId="41" fontId="18" fillId="5" borderId="6" xfId="6" applyNumberFormat="1" applyFont="1" applyFill="1" applyBorder="1"/>
    <xf numFmtId="41" fontId="14" fillId="3" borderId="1" xfId="0" applyNumberFormat="1" applyFont="1" applyFill="1" applyBorder="1" applyAlignment="1">
      <alignment horizontal="center"/>
    </xf>
    <xf numFmtId="0" fontId="17" fillId="5" borderId="0" xfId="4" applyFont="1" applyFill="1" applyAlignment="1">
      <alignment horizontal="center"/>
    </xf>
    <xf numFmtId="42" fontId="18" fillId="5" borderId="6" xfId="6" applyNumberFormat="1" applyFont="1" applyFill="1" applyBorder="1"/>
    <xf numFmtId="0" fontId="3" fillId="6" borderId="2" xfId="0" applyFont="1" applyFill="1" applyBorder="1"/>
    <xf numFmtId="0" fontId="8" fillId="6" borderId="2" xfId="0" applyFont="1" applyFill="1" applyBorder="1"/>
    <xf numFmtId="0" fontId="19" fillId="6" borderId="2" xfId="0" applyFont="1" applyFill="1" applyBorder="1"/>
    <xf numFmtId="0" fontId="20" fillId="6" borderId="2" xfId="0" applyFont="1" applyFill="1" applyBorder="1"/>
    <xf numFmtId="3" fontId="14" fillId="3" borderId="1" xfId="5" applyNumberFormat="1" applyFont="1" applyFill="1" applyAlignment="1">
      <alignment horizontal="center"/>
    </xf>
    <xf numFmtId="0" fontId="4" fillId="0" borderId="0" xfId="0" applyFont="1"/>
    <xf numFmtId="0" fontId="20" fillId="7" borderId="7" xfId="0" applyFont="1" applyFill="1" applyBorder="1"/>
    <xf numFmtId="0" fontId="20" fillId="7" borderId="8" xfId="0" applyFont="1" applyFill="1" applyBorder="1"/>
    <xf numFmtId="0" fontId="3" fillId="7" borderId="8" xfId="0" applyFont="1" applyFill="1" applyBorder="1" applyAlignment="1">
      <alignment horizontal="centerContinuous"/>
    </xf>
    <xf numFmtId="0" fontId="3" fillId="7" borderId="9" xfId="0" applyFont="1" applyFill="1" applyBorder="1" applyAlignment="1">
      <alignment horizontal="centerContinuous"/>
    </xf>
    <xf numFmtId="0" fontId="20" fillId="7" borderId="10" xfId="0" applyFont="1" applyFill="1" applyBorder="1"/>
    <xf numFmtId="165" fontId="21" fillId="8" borderId="10" xfId="0" applyNumberFormat="1" applyFont="1" applyFill="1" applyBorder="1"/>
    <xf numFmtId="173" fontId="3" fillId="8" borderId="0" xfId="0" applyNumberFormat="1" applyFont="1" applyFill="1" applyAlignment="1">
      <alignment horizontal="center"/>
    </xf>
    <xf numFmtId="173" fontId="3" fillId="8" borderId="2" xfId="0" applyNumberFormat="1" applyFont="1" applyFill="1" applyBorder="1" applyAlignment="1">
      <alignment horizontal="center"/>
    </xf>
    <xf numFmtId="174" fontId="1" fillId="0" borderId="7" xfId="0" applyNumberFormat="1" applyFont="1" applyBorder="1"/>
    <xf numFmtId="174" fontId="1" fillId="0" borderId="6" xfId="0" applyNumberFormat="1" applyFont="1" applyBorder="1"/>
    <xf numFmtId="41" fontId="1" fillId="0" borderId="10" xfId="0" applyNumberFormat="1" applyFont="1" applyBorder="1"/>
    <xf numFmtId="41" fontId="1" fillId="0" borderId="0" xfId="0" applyNumberFormat="1" applyFont="1"/>
    <xf numFmtId="37" fontId="3" fillId="8" borderId="0" xfId="0" applyNumberFormat="1" applyFont="1" applyFill="1" applyAlignment="1">
      <alignment horizontal="center"/>
    </xf>
    <xf numFmtId="175" fontId="3" fillId="8" borderId="0" xfId="0" applyNumberFormat="1" applyFont="1" applyFill="1" applyAlignment="1">
      <alignment horizontal="center"/>
    </xf>
    <xf numFmtId="37" fontId="3" fillId="8" borderId="12" xfId="0" applyNumberFormat="1" applyFont="1" applyFill="1" applyBorder="1" applyAlignment="1">
      <alignment horizontal="center"/>
    </xf>
    <xf numFmtId="37" fontId="3" fillId="8" borderId="13" xfId="0" applyNumberFormat="1" applyFont="1" applyFill="1" applyBorder="1" applyAlignment="1">
      <alignment horizontal="center"/>
    </xf>
    <xf numFmtId="42" fontId="3" fillId="8" borderId="13" xfId="0" applyNumberFormat="1" applyFont="1" applyFill="1" applyBorder="1" applyAlignment="1">
      <alignment horizontal="center"/>
    </xf>
    <xf numFmtId="41" fontId="3" fillId="8" borderId="13" xfId="0" applyNumberFormat="1" applyFont="1" applyFill="1" applyBorder="1" applyAlignment="1">
      <alignment horizontal="center"/>
    </xf>
    <xf numFmtId="41" fontId="3" fillId="8" borderId="12" xfId="0" applyNumberFormat="1" applyFont="1" applyFill="1" applyBorder="1" applyAlignment="1">
      <alignment horizontal="center"/>
    </xf>
    <xf numFmtId="164" fontId="7" fillId="3" borderId="14" xfId="0" applyNumberFormat="1" applyFont="1" applyFill="1" applyBorder="1" applyAlignment="1">
      <alignment horizontal="center"/>
    </xf>
    <xf numFmtId="0" fontId="15" fillId="5" borderId="2" xfId="4" applyFont="1" applyFill="1" applyBorder="1"/>
    <xf numFmtId="0" fontId="17" fillId="5" borderId="2" xfId="4" applyFont="1" applyFill="1" applyBorder="1" applyAlignment="1">
      <alignment horizontal="center"/>
    </xf>
    <xf numFmtId="41" fontId="18" fillId="5" borderId="2" xfId="6" applyNumberFormat="1" applyFont="1" applyFill="1" applyBorder="1"/>
    <xf numFmtId="0" fontId="2" fillId="0" borderId="0" xfId="0" quotePrefix="1" applyFont="1"/>
    <xf numFmtId="165" fontId="2" fillId="0" borderId="0" xfId="0" applyNumberFormat="1" applyFont="1"/>
    <xf numFmtId="0" fontId="14" fillId="0" borderId="0" xfId="4" applyFont="1"/>
    <xf numFmtId="41" fontId="22" fillId="0" borderId="0" xfId="6" applyNumberFormat="1" applyFont="1"/>
    <xf numFmtId="0" fontId="14" fillId="0" borderId="0" xfId="4" applyFont="1" applyAlignment="1">
      <alignment horizontal="center"/>
    </xf>
    <xf numFmtId="0" fontId="3" fillId="7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7">
    <cellStyle name="Normal" xfId="0" builtinId="0"/>
    <cellStyle name="Normal 2" xfId="1" xr:uid="{185342B1-D10E-40DD-8BCA-52FF277AE828}"/>
    <cellStyle name="Normal 2 2" xfId="4" xr:uid="{0EDD9B35-4A80-45F4-8E55-B6DB71E46999}"/>
    <cellStyle name="Normal 3" xfId="6" xr:uid="{7C28C26D-CC27-4188-BE1A-14E02B890075}"/>
    <cellStyle name="Normal 4" xfId="2" xr:uid="{AF239D45-1FC8-4DCA-BE23-B49905767B08}"/>
    <cellStyle name="Note" xfId="5" builtinId="10"/>
    <cellStyle name="Note 2" xfId="3" xr:uid="{0BAD9346-A58E-4438-90F5-4924798F06D9}"/>
  </cellStyles>
  <dxfs count="0"/>
  <tableStyles count="0" defaultTableStyle="TableStyleMedium2" defaultPivotStyle="PivotStyleLight16"/>
  <colors>
    <mruColors>
      <color rgb="FF0000FF"/>
      <color rgb="FFFFFF99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X136"/>
  <sheetViews>
    <sheetView showGridLines="0" tabSelected="1" zoomScaleNormal="100" workbookViewId="0">
      <selection activeCell="B2" sqref="B2"/>
    </sheetView>
  </sheetViews>
  <sheetFormatPr defaultColWidth="9.1796875" defaultRowHeight="15.5" outlineLevelRow="1" x14ac:dyDescent="0.35"/>
  <cols>
    <col min="1" max="2" width="2.7265625" style="1" customWidth="1"/>
    <col min="3" max="3" width="42.54296875" style="1" bestFit="1" customWidth="1"/>
    <col min="4" max="24" width="12.7265625" style="1" customWidth="1"/>
    <col min="25" max="25" width="2.7265625" style="1" customWidth="1"/>
    <col min="26" max="16384" width="9.1796875" style="1"/>
  </cols>
  <sheetData>
    <row r="2" spans="2:13" ht="18.5" x14ac:dyDescent="0.45">
      <c r="B2" s="20" t="s">
        <v>89</v>
      </c>
    </row>
    <row r="3" spans="2:13" x14ac:dyDescent="0.35">
      <c r="B3" s="1" t="s">
        <v>22</v>
      </c>
    </row>
    <row r="5" spans="2:13" x14ac:dyDescent="0.35">
      <c r="B5" s="11" t="s">
        <v>6</v>
      </c>
      <c r="C5" s="11"/>
      <c r="D5" s="12" t="s">
        <v>3</v>
      </c>
      <c r="E5" s="11"/>
      <c r="F5" s="11"/>
      <c r="G5" s="12"/>
      <c r="H5" s="12"/>
      <c r="I5" s="11"/>
      <c r="J5" s="11"/>
      <c r="K5" s="12" t="str">
        <f>$D$5</f>
        <v>Units:</v>
      </c>
      <c r="L5" s="11"/>
      <c r="M5" s="11"/>
    </row>
    <row r="6" spans="2:13" outlineLevel="1" x14ac:dyDescent="0.35"/>
    <row r="7" spans="2:13" outlineLevel="1" x14ac:dyDescent="0.35">
      <c r="C7" s="76" t="s">
        <v>83</v>
      </c>
      <c r="D7" s="77"/>
      <c r="E7" s="78"/>
      <c r="G7" s="76" t="s">
        <v>84</v>
      </c>
      <c r="H7" s="77"/>
      <c r="I7" s="78"/>
      <c r="J7" s="78"/>
      <c r="K7" s="78"/>
      <c r="L7" s="78"/>
    </row>
    <row r="8" spans="2:13" outlineLevel="1" x14ac:dyDescent="0.35">
      <c r="C8" s="4" t="s">
        <v>9</v>
      </c>
      <c r="D8" s="2" t="s">
        <v>4</v>
      </c>
      <c r="E8" s="75">
        <v>0.38400000000000001</v>
      </c>
      <c r="G8" s="4" t="s">
        <v>16</v>
      </c>
      <c r="K8" s="2" t="s">
        <v>4</v>
      </c>
      <c r="L8" s="7">
        <v>0.05</v>
      </c>
    </row>
    <row r="9" spans="2:13" outlineLevel="1" x14ac:dyDescent="0.35">
      <c r="C9" s="4" t="s">
        <v>0</v>
      </c>
      <c r="D9" s="2" t="s">
        <v>4</v>
      </c>
      <c r="E9" s="3">
        <v>0.64</v>
      </c>
      <c r="G9" s="4" t="s">
        <v>19</v>
      </c>
      <c r="K9" s="2" t="s">
        <v>4</v>
      </c>
      <c r="L9" s="7">
        <v>7.4999999999999997E-2</v>
      </c>
    </row>
    <row r="10" spans="2:13" outlineLevel="1" x14ac:dyDescent="0.35">
      <c r="C10" s="4" t="s">
        <v>1</v>
      </c>
      <c r="D10" s="2" t="s">
        <v>4</v>
      </c>
      <c r="E10" s="3">
        <v>0.92900000000000005</v>
      </c>
      <c r="G10" s="4" t="s">
        <v>17</v>
      </c>
      <c r="K10" s="2" t="s">
        <v>4</v>
      </c>
      <c r="L10" s="7">
        <v>0.125</v>
      </c>
    </row>
    <row r="11" spans="2:13" outlineLevel="1" x14ac:dyDescent="0.35">
      <c r="C11" s="4"/>
      <c r="G11" s="4" t="s">
        <v>18</v>
      </c>
      <c r="K11" s="2" t="s">
        <v>4</v>
      </c>
      <c r="L11" s="7">
        <v>0.05</v>
      </c>
    </row>
    <row r="12" spans="2:13" outlineLevel="1" x14ac:dyDescent="0.35">
      <c r="C12" s="4" t="s">
        <v>90</v>
      </c>
      <c r="D12" s="2" t="s">
        <v>4</v>
      </c>
      <c r="E12" s="31">
        <f>E8*E9*E10</f>
        <v>0.22831104000000002</v>
      </c>
      <c r="G12" s="4"/>
      <c r="L12" s="80"/>
    </row>
    <row r="13" spans="2:13" outlineLevel="1" x14ac:dyDescent="0.35">
      <c r="C13" s="4"/>
      <c r="G13" s="4" t="s">
        <v>79</v>
      </c>
      <c r="K13" s="2" t="s">
        <v>4</v>
      </c>
      <c r="L13" s="7">
        <v>0</v>
      </c>
    </row>
    <row r="14" spans="2:13" outlineLevel="1" x14ac:dyDescent="0.35">
      <c r="C14" s="4" t="s">
        <v>43</v>
      </c>
      <c r="D14" s="2" t="s">
        <v>4</v>
      </c>
      <c r="E14" s="3">
        <v>0.1</v>
      </c>
      <c r="G14" s="4"/>
    </row>
    <row r="15" spans="2:13" outlineLevel="1" x14ac:dyDescent="0.35">
      <c r="G15" s="4" t="s">
        <v>24</v>
      </c>
      <c r="K15" s="2" t="s">
        <v>4</v>
      </c>
      <c r="L15" s="7">
        <v>0.03</v>
      </c>
    </row>
    <row r="16" spans="2:13" outlineLevel="1" x14ac:dyDescent="0.35">
      <c r="C16" s="4" t="s">
        <v>46</v>
      </c>
      <c r="D16" s="2" t="s">
        <v>4</v>
      </c>
      <c r="E16" s="38">
        <v>1E-3</v>
      </c>
      <c r="G16" s="4" t="s">
        <v>23</v>
      </c>
      <c r="K16" s="2" t="s">
        <v>4</v>
      </c>
      <c r="L16" s="7">
        <v>0.05</v>
      </c>
    </row>
    <row r="17" spans="2:13" outlineLevel="1" x14ac:dyDescent="0.35">
      <c r="C17" s="4" t="s">
        <v>67</v>
      </c>
      <c r="D17" s="2" t="s">
        <v>45</v>
      </c>
      <c r="E17" s="54">
        <f>I39</f>
        <v>5</v>
      </c>
    </row>
    <row r="18" spans="2:13" outlineLevel="1" x14ac:dyDescent="0.35">
      <c r="G18" s="76" t="s">
        <v>85</v>
      </c>
      <c r="H18" s="77"/>
      <c r="I18" s="78"/>
      <c r="J18" s="78"/>
      <c r="K18" s="78"/>
      <c r="L18" s="78"/>
    </row>
    <row r="19" spans="2:13" outlineLevel="1" x14ac:dyDescent="0.35">
      <c r="C19" s="4" t="s">
        <v>49</v>
      </c>
      <c r="D19" s="2" t="s">
        <v>4</v>
      </c>
      <c r="E19" s="38">
        <v>7.4999999999999997E-3</v>
      </c>
      <c r="G19" s="4" t="s">
        <v>20</v>
      </c>
      <c r="K19" s="2" t="s">
        <v>5</v>
      </c>
      <c r="L19" s="6">
        <v>50</v>
      </c>
    </row>
    <row r="20" spans="2:13" outlineLevel="1" x14ac:dyDescent="0.35">
      <c r="C20" s="4" t="s">
        <v>44</v>
      </c>
      <c r="D20" s="2" t="s">
        <v>45</v>
      </c>
      <c r="E20" s="54">
        <v>10</v>
      </c>
      <c r="G20" s="4" t="s">
        <v>21</v>
      </c>
      <c r="K20" s="2" t="s">
        <v>5</v>
      </c>
      <c r="L20" s="9">
        <v>0</v>
      </c>
    </row>
    <row r="21" spans="2:13" outlineLevel="1" x14ac:dyDescent="0.35"/>
    <row r="22" spans="2:13" outlineLevel="1" x14ac:dyDescent="0.35">
      <c r="C22" s="4" t="s">
        <v>48</v>
      </c>
      <c r="D22" s="2" t="s">
        <v>4</v>
      </c>
      <c r="E22" s="38">
        <v>1E-3</v>
      </c>
      <c r="G22" s="4" t="s">
        <v>62</v>
      </c>
      <c r="K22" s="2" t="s">
        <v>4</v>
      </c>
      <c r="L22" s="3">
        <v>0.8</v>
      </c>
    </row>
    <row r="23" spans="2:13" outlineLevel="1" x14ac:dyDescent="0.35">
      <c r="C23" s="4" t="s">
        <v>50</v>
      </c>
      <c r="D23" s="2" t="s">
        <v>4</v>
      </c>
      <c r="E23" s="38">
        <v>1E-3</v>
      </c>
      <c r="G23" s="4" t="s">
        <v>14</v>
      </c>
      <c r="K23" s="2" t="s">
        <v>4</v>
      </c>
      <c r="L23" s="3">
        <v>0.25</v>
      </c>
    </row>
    <row r="24" spans="2:13" outlineLevel="1" x14ac:dyDescent="0.35"/>
    <row r="25" spans="2:13" outlineLevel="1" x14ac:dyDescent="0.35">
      <c r="C25" s="4" t="s">
        <v>51</v>
      </c>
      <c r="D25" s="2" t="s">
        <v>4</v>
      </c>
      <c r="E25" s="7">
        <v>0.03</v>
      </c>
      <c r="G25" s="4" t="s">
        <v>15</v>
      </c>
      <c r="K25" s="2" t="s">
        <v>4</v>
      </c>
      <c r="L25" s="3">
        <v>0.1</v>
      </c>
    </row>
    <row r="26" spans="2:13" outlineLevel="1" x14ac:dyDescent="0.35">
      <c r="C26" s="4" t="s">
        <v>52</v>
      </c>
      <c r="D26" s="2" t="s">
        <v>45</v>
      </c>
      <c r="E26" s="54">
        <v>15</v>
      </c>
    </row>
    <row r="27" spans="2:13" outlineLevel="1" x14ac:dyDescent="0.35">
      <c r="C27" s="4" t="s">
        <v>53</v>
      </c>
      <c r="D27" s="2" t="s">
        <v>4</v>
      </c>
      <c r="E27" s="7">
        <v>-0.9</v>
      </c>
    </row>
    <row r="29" spans="2:13" x14ac:dyDescent="0.35">
      <c r="B29" s="11" t="s">
        <v>86</v>
      </c>
      <c r="C29" s="11"/>
      <c r="D29" s="12" t="s">
        <v>3</v>
      </c>
      <c r="E29" s="11"/>
      <c r="F29" s="11"/>
      <c r="G29" s="12"/>
      <c r="H29" s="12"/>
      <c r="I29" s="11"/>
      <c r="J29" s="11"/>
      <c r="K29" s="12"/>
      <c r="L29" s="11"/>
      <c r="M29" s="11"/>
    </row>
    <row r="30" spans="2:13" outlineLevel="1" x14ac:dyDescent="0.35"/>
    <row r="31" spans="2:13" outlineLevel="1" x14ac:dyDescent="0.35">
      <c r="C31" s="4" t="s">
        <v>66</v>
      </c>
      <c r="D31" s="2" t="s">
        <v>5</v>
      </c>
      <c r="E31" s="27">
        <f>NPV(Discount_Rate,E83:X83)</f>
        <v>384.85233642262227</v>
      </c>
      <c r="G31" s="4" t="s">
        <v>54</v>
      </c>
      <c r="K31" s="2" t="s">
        <v>5</v>
      </c>
      <c r="L31" s="27">
        <f>SUM(E55:X55)</f>
        <v>10830.939486558453</v>
      </c>
    </row>
    <row r="32" spans="2:13" outlineLevel="1" x14ac:dyDescent="0.35">
      <c r="C32" s="4" t="s">
        <v>40</v>
      </c>
      <c r="D32" s="2" t="s">
        <v>5</v>
      </c>
      <c r="E32" s="9">
        <v>0</v>
      </c>
    </row>
    <row r="33" spans="2:24" outlineLevel="1" x14ac:dyDescent="0.35">
      <c r="C33" s="44" t="s">
        <v>63</v>
      </c>
      <c r="D33" s="45" t="s">
        <v>5</v>
      </c>
      <c r="E33" s="46">
        <f>SUM(E31:E32)</f>
        <v>384.85233642262227</v>
      </c>
      <c r="G33" s="4" t="s">
        <v>87</v>
      </c>
      <c r="K33" s="2" t="s">
        <v>5</v>
      </c>
      <c r="L33" s="8">
        <f>SUM(E82:X82)</f>
        <v>5293.3744407120184</v>
      </c>
    </row>
    <row r="34" spans="2:24" outlineLevel="1" x14ac:dyDescent="0.35">
      <c r="C34" s="4" t="s">
        <v>64</v>
      </c>
      <c r="D34" s="2" t="s">
        <v>5</v>
      </c>
      <c r="E34" s="9">
        <v>0</v>
      </c>
      <c r="G34" s="4" t="s">
        <v>88</v>
      </c>
      <c r="K34" s="2" t="s">
        <v>5</v>
      </c>
      <c r="L34" s="8">
        <f>SUM(E83:X83)</f>
        <v>1142.6044700683792</v>
      </c>
    </row>
    <row r="35" spans="2:24" outlineLevel="1" x14ac:dyDescent="0.35">
      <c r="C35" s="4" t="s">
        <v>65</v>
      </c>
      <c r="D35" s="2" t="s">
        <v>5</v>
      </c>
      <c r="E35" s="47">
        <f>L19</f>
        <v>50</v>
      </c>
    </row>
    <row r="36" spans="2:24" outlineLevel="1" x14ac:dyDescent="0.35">
      <c r="C36" s="4" t="s">
        <v>41</v>
      </c>
      <c r="D36" s="22" t="s">
        <v>5</v>
      </c>
      <c r="E36" s="47">
        <f>-L20</f>
        <v>0</v>
      </c>
    </row>
    <row r="37" spans="2:24" outlineLevel="1" x14ac:dyDescent="0.35">
      <c r="C37" s="44" t="s">
        <v>42</v>
      </c>
      <c r="D37" s="48" t="s">
        <v>5</v>
      </c>
      <c r="E37" s="49">
        <f>SUM(E33:E36)</f>
        <v>434.85233642262227</v>
      </c>
    </row>
    <row r="38" spans="2:24" outlineLevel="1" x14ac:dyDescent="0.35"/>
    <row r="39" spans="2:24" outlineLevel="1" x14ac:dyDescent="0.35">
      <c r="C39" s="1" t="s">
        <v>47</v>
      </c>
      <c r="D39" s="2" t="s">
        <v>69</v>
      </c>
      <c r="E39" s="35">
        <v>1</v>
      </c>
      <c r="F39" s="36">
        <f>E39+1</f>
        <v>2</v>
      </c>
      <c r="G39" s="36">
        <f t="shared" ref="G39:X39" si="0">F39+1</f>
        <v>3</v>
      </c>
      <c r="H39" s="36">
        <f t="shared" si="0"/>
        <v>4</v>
      </c>
      <c r="I39" s="36">
        <f t="shared" si="0"/>
        <v>5</v>
      </c>
      <c r="J39" s="36">
        <f t="shared" si="0"/>
        <v>6</v>
      </c>
      <c r="K39" s="36">
        <f t="shared" si="0"/>
        <v>7</v>
      </c>
      <c r="L39" s="36">
        <f t="shared" si="0"/>
        <v>8</v>
      </c>
      <c r="M39" s="36">
        <f t="shared" si="0"/>
        <v>9</v>
      </c>
      <c r="N39" s="36">
        <f t="shared" si="0"/>
        <v>10</v>
      </c>
      <c r="O39" s="36">
        <f t="shared" si="0"/>
        <v>11</v>
      </c>
      <c r="P39" s="36">
        <f t="shared" si="0"/>
        <v>12</v>
      </c>
      <c r="Q39" s="36">
        <f t="shared" si="0"/>
        <v>13</v>
      </c>
      <c r="R39" s="36">
        <f t="shared" si="0"/>
        <v>14</v>
      </c>
      <c r="S39" s="36">
        <f t="shared" si="0"/>
        <v>15</v>
      </c>
      <c r="T39" s="36">
        <f t="shared" si="0"/>
        <v>16</v>
      </c>
      <c r="U39" s="36">
        <f t="shared" si="0"/>
        <v>17</v>
      </c>
      <c r="V39" s="36">
        <f t="shared" si="0"/>
        <v>18</v>
      </c>
      <c r="W39" s="36">
        <f t="shared" si="0"/>
        <v>19</v>
      </c>
      <c r="X39" s="36">
        <f t="shared" si="0"/>
        <v>20</v>
      </c>
    </row>
    <row r="40" spans="2:24" x14ac:dyDescent="0.35">
      <c r="C40" s="2"/>
      <c r="E40" s="37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x14ac:dyDescent="0.35">
      <c r="B41" s="13"/>
      <c r="C41" s="13"/>
      <c r="D41" s="14"/>
      <c r="E41" s="15" t="s">
        <v>7</v>
      </c>
      <c r="F41" s="16" t="s">
        <v>8</v>
      </c>
      <c r="G41" s="16"/>
      <c r="H41" s="17"/>
      <c r="I41" s="16" t="s">
        <v>10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2:24" x14ac:dyDescent="0.35">
      <c r="B42" s="11" t="s">
        <v>2</v>
      </c>
      <c r="C42" s="11"/>
      <c r="D42" s="12" t="s">
        <v>3</v>
      </c>
      <c r="E42" s="18" t="str">
        <f>"Year "&amp;E39</f>
        <v>Year 1</v>
      </c>
      <c r="F42" s="19" t="str">
        <f t="shared" ref="F42:X42" si="1">"Year "&amp;F39</f>
        <v>Year 2</v>
      </c>
      <c r="G42" s="19" t="str">
        <f t="shared" si="1"/>
        <v>Year 3</v>
      </c>
      <c r="H42" s="18" t="str">
        <f t="shared" si="1"/>
        <v>Year 4</v>
      </c>
      <c r="I42" s="19" t="str">
        <f t="shared" si="1"/>
        <v>Year 5</v>
      </c>
      <c r="J42" s="19" t="str">
        <f t="shared" si="1"/>
        <v>Year 6</v>
      </c>
      <c r="K42" s="19" t="str">
        <f t="shared" si="1"/>
        <v>Year 7</v>
      </c>
      <c r="L42" s="19" t="str">
        <f t="shared" si="1"/>
        <v>Year 8</v>
      </c>
      <c r="M42" s="19" t="str">
        <f t="shared" si="1"/>
        <v>Year 9</v>
      </c>
      <c r="N42" s="19" t="str">
        <f t="shared" si="1"/>
        <v>Year 10</v>
      </c>
      <c r="O42" s="19" t="str">
        <f t="shared" si="1"/>
        <v>Year 11</v>
      </c>
      <c r="P42" s="19" t="str">
        <f t="shared" si="1"/>
        <v>Year 12</v>
      </c>
      <c r="Q42" s="19" t="str">
        <f t="shared" si="1"/>
        <v>Year 13</v>
      </c>
      <c r="R42" s="19" t="str">
        <f t="shared" si="1"/>
        <v>Year 14</v>
      </c>
      <c r="S42" s="19" t="str">
        <f t="shared" si="1"/>
        <v>Year 15</v>
      </c>
      <c r="T42" s="19" t="str">
        <f t="shared" si="1"/>
        <v>Year 16</v>
      </c>
      <c r="U42" s="19" t="str">
        <f t="shared" si="1"/>
        <v>Year 17</v>
      </c>
      <c r="V42" s="19" t="str">
        <f t="shared" si="1"/>
        <v>Year 18</v>
      </c>
      <c r="W42" s="19" t="str">
        <f t="shared" si="1"/>
        <v>Year 19</v>
      </c>
      <c r="X42" s="19" t="str">
        <f t="shared" si="1"/>
        <v>Year 20</v>
      </c>
    </row>
    <row r="43" spans="2:24" outlineLevel="1" x14ac:dyDescent="0.35"/>
    <row r="44" spans="2:24" outlineLevel="1" x14ac:dyDescent="0.35">
      <c r="C44" s="1" t="s">
        <v>25</v>
      </c>
      <c r="D44" s="2" t="s">
        <v>32</v>
      </c>
      <c r="E44" s="23">
        <v>275</v>
      </c>
      <c r="F44" s="25">
        <f>E44*(1+F45)</f>
        <v>277.75</v>
      </c>
      <c r="G44" s="25">
        <f t="shared" ref="G44:X44" si="2">F44*(1+G45)</f>
        <v>280.52749999999997</v>
      </c>
      <c r="H44" s="25">
        <f t="shared" si="2"/>
        <v>283.05224749999996</v>
      </c>
      <c r="I44" s="25">
        <f t="shared" si="2"/>
        <v>285.59971772749992</v>
      </c>
      <c r="J44" s="25">
        <f t="shared" si="2"/>
        <v>287.88451546931992</v>
      </c>
      <c r="K44" s="25">
        <f t="shared" si="2"/>
        <v>290.1875915930745</v>
      </c>
      <c r="L44" s="25">
        <f t="shared" si="2"/>
        <v>292.21890473422599</v>
      </c>
      <c r="M44" s="25">
        <f t="shared" si="2"/>
        <v>294.26443706736552</v>
      </c>
      <c r="N44" s="25">
        <f t="shared" si="2"/>
        <v>296.03002368976973</v>
      </c>
      <c r="O44" s="25">
        <f t="shared" si="2"/>
        <v>297.80620383190836</v>
      </c>
      <c r="P44" s="25">
        <f t="shared" si="2"/>
        <v>299.29523485106785</v>
      </c>
      <c r="Q44" s="25">
        <f t="shared" si="2"/>
        <v>300.79171102532314</v>
      </c>
      <c r="R44" s="25">
        <f t="shared" si="2"/>
        <v>302.29566958044973</v>
      </c>
      <c r="S44" s="25">
        <f t="shared" si="2"/>
        <v>303.80714792835192</v>
      </c>
      <c r="T44" s="25">
        <f t="shared" si="2"/>
        <v>305.32618366799363</v>
      </c>
      <c r="U44" s="25">
        <f t="shared" si="2"/>
        <v>306.85281458633358</v>
      </c>
      <c r="V44" s="25">
        <f t="shared" si="2"/>
        <v>308.38707865926523</v>
      </c>
      <c r="W44" s="25">
        <f t="shared" si="2"/>
        <v>309.92901405256151</v>
      </c>
      <c r="X44" s="25">
        <f t="shared" si="2"/>
        <v>311.4786591228243</v>
      </c>
    </row>
    <row r="45" spans="2:24" outlineLevel="1" x14ac:dyDescent="0.35">
      <c r="C45" s="4" t="s">
        <v>26</v>
      </c>
      <c r="D45" s="2" t="s">
        <v>4</v>
      </c>
      <c r="F45" s="3">
        <v>0.01</v>
      </c>
      <c r="G45" s="3">
        <v>0.01</v>
      </c>
      <c r="H45" s="3">
        <v>8.9999999999999993E-3</v>
      </c>
      <c r="I45" s="3">
        <v>8.9999999999999993E-3</v>
      </c>
      <c r="J45" s="3">
        <v>8.0000000000000002E-3</v>
      </c>
      <c r="K45" s="3">
        <v>8.0000000000000002E-3</v>
      </c>
      <c r="L45" s="3">
        <v>7.0000000000000001E-3</v>
      </c>
      <c r="M45" s="3">
        <v>7.0000000000000001E-3</v>
      </c>
      <c r="N45" s="3">
        <v>6.0000000000000001E-3</v>
      </c>
      <c r="O45" s="3">
        <v>6.0000000000000001E-3</v>
      </c>
      <c r="P45" s="3">
        <v>5.0000000000000001E-3</v>
      </c>
      <c r="Q45" s="3">
        <v>5.0000000000000001E-3</v>
      </c>
      <c r="R45" s="3">
        <v>5.0000000000000001E-3</v>
      </c>
      <c r="S45" s="3">
        <v>5.0000000000000001E-3</v>
      </c>
      <c r="T45" s="3">
        <v>5.0000000000000001E-3</v>
      </c>
      <c r="U45" s="3">
        <v>5.0000000000000001E-3</v>
      </c>
      <c r="V45" s="3">
        <v>5.0000000000000001E-3</v>
      </c>
      <c r="W45" s="3">
        <v>5.0000000000000001E-3</v>
      </c>
      <c r="X45" s="3">
        <v>5.0000000000000001E-3</v>
      </c>
    </row>
    <row r="46" spans="2:24" outlineLevel="1" x14ac:dyDescent="0.35"/>
    <row r="47" spans="2:24" outlineLevel="1" x14ac:dyDescent="0.35">
      <c r="C47" s="1" t="s">
        <v>27</v>
      </c>
      <c r="D47" s="2" t="s">
        <v>32</v>
      </c>
      <c r="E47" s="24">
        <f t="shared" ref="E47:X47" si="3">E44*Pct_Diagnosed</f>
        <v>27.5</v>
      </c>
      <c r="F47" s="24">
        <f t="shared" si="3"/>
        <v>27.775000000000002</v>
      </c>
      <c r="G47" s="24">
        <f t="shared" si="3"/>
        <v>28.05275</v>
      </c>
      <c r="H47" s="24">
        <f t="shared" si="3"/>
        <v>28.305224749999997</v>
      </c>
      <c r="I47" s="24">
        <f t="shared" si="3"/>
        <v>28.559971772749993</v>
      </c>
      <c r="J47" s="24">
        <f t="shared" si="3"/>
        <v>28.788451546931995</v>
      </c>
      <c r="K47" s="24">
        <f t="shared" si="3"/>
        <v>29.01875915930745</v>
      </c>
      <c r="L47" s="24">
        <f t="shared" si="3"/>
        <v>29.221890473422601</v>
      </c>
      <c r="M47" s="24">
        <f t="shared" si="3"/>
        <v>29.426443706736553</v>
      </c>
      <c r="N47" s="24">
        <f t="shared" si="3"/>
        <v>29.603002368976973</v>
      </c>
      <c r="O47" s="24">
        <f t="shared" si="3"/>
        <v>29.780620383190836</v>
      </c>
      <c r="P47" s="24">
        <f t="shared" si="3"/>
        <v>29.929523485106785</v>
      </c>
      <c r="Q47" s="24">
        <f t="shared" si="3"/>
        <v>30.079171102532314</v>
      </c>
      <c r="R47" s="24">
        <f t="shared" si="3"/>
        <v>30.229566958044973</v>
      </c>
      <c r="S47" s="24">
        <f t="shared" si="3"/>
        <v>30.380714792835192</v>
      </c>
      <c r="T47" s="24">
        <f t="shared" si="3"/>
        <v>30.532618366799365</v>
      </c>
      <c r="U47" s="24">
        <f t="shared" si="3"/>
        <v>30.685281458633359</v>
      </c>
      <c r="V47" s="24">
        <f t="shared" si="3"/>
        <v>30.838707865926523</v>
      </c>
      <c r="W47" s="24">
        <f t="shared" si="3"/>
        <v>30.992901405256152</v>
      </c>
      <c r="X47" s="24">
        <f t="shared" si="3"/>
        <v>31.14786591228243</v>
      </c>
    </row>
    <row r="48" spans="2:24" outlineLevel="1" x14ac:dyDescent="0.35"/>
    <row r="49" spans="3:24" outlineLevel="1" x14ac:dyDescent="0.35">
      <c r="C49" s="1" t="s">
        <v>28</v>
      </c>
      <c r="D49" s="2" t="s">
        <v>4</v>
      </c>
      <c r="E49" s="38">
        <v>0</v>
      </c>
      <c r="F49" s="38">
        <v>0</v>
      </c>
      <c r="G49" s="38">
        <v>0</v>
      </c>
      <c r="H49" s="38">
        <v>0</v>
      </c>
      <c r="I49" s="39" cm="1">
        <f t="array" ref="I49">_xlfn.IFS(I39=Initial_Year,Initial_Market_Share,I39=Peak_Year,Peak_Market_Share,I39&lt;Peak_Year,H49+(Peak_Market_Share-Initial_Market_Share)/(Peak_Year-Initial_Year),I39&gt;Peak_Year,MAX(H49-Market_Share_Declines,Min_Market_Share))</f>
        <v>1E-3</v>
      </c>
      <c r="J49" s="39" cm="1">
        <f t="array" ref="J49">_xlfn.IFS(J39=Initial_Year,Initial_Market_Share,J39=Peak_Year,Peak_Market_Share,J39&lt;Peak_Year,I49+(Peak_Market_Share-Initial_Market_Share)/(Peak_Year-Initial_Year),J39&gt;Peak_Year,MAX(I49-Market_Share_Declines,Min_Market_Share))</f>
        <v>2.3E-3</v>
      </c>
      <c r="K49" s="39" cm="1">
        <f t="array" ref="K49">_xlfn.IFS(K39=Initial_Year,Initial_Market_Share,K39=Peak_Year,Peak_Market_Share,K39&lt;Peak_Year,J49+(Peak_Market_Share-Initial_Market_Share)/(Peak_Year-Initial_Year),K39&gt;Peak_Year,MAX(J49-Market_Share_Declines,Min_Market_Share))</f>
        <v>3.5999999999999999E-3</v>
      </c>
      <c r="L49" s="39" cm="1">
        <f t="array" ref="L49">_xlfn.IFS(L39=Initial_Year,Initial_Market_Share,L39=Peak_Year,Peak_Market_Share,L39&lt;Peak_Year,K49+(Peak_Market_Share-Initial_Market_Share)/(Peak_Year-Initial_Year),L39&gt;Peak_Year,MAX(K49-Market_Share_Declines,Min_Market_Share))</f>
        <v>4.8999999999999998E-3</v>
      </c>
      <c r="M49" s="39" cm="1">
        <f t="array" ref="M49">_xlfn.IFS(M39=Initial_Year,Initial_Market_Share,M39=Peak_Year,Peak_Market_Share,M39&lt;Peak_Year,L49+(Peak_Market_Share-Initial_Market_Share)/(Peak_Year-Initial_Year),M39&gt;Peak_Year,MAX(L49-Market_Share_Declines,Min_Market_Share))</f>
        <v>6.1999999999999998E-3</v>
      </c>
      <c r="N49" s="39" cm="1">
        <f t="array" ref="N49">_xlfn.IFS(N39=Initial_Year,Initial_Market_Share,N39=Peak_Year,Peak_Market_Share,N39&lt;Peak_Year,M49+(Peak_Market_Share-Initial_Market_Share)/(Peak_Year-Initial_Year),N39&gt;Peak_Year,MAX(M49-Market_Share_Declines,Min_Market_Share))</f>
        <v>7.4999999999999997E-3</v>
      </c>
      <c r="O49" s="39" cm="1">
        <f t="array" ref="O49">_xlfn.IFS(O39=Initial_Year,Initial_Market_Share,O39=Peak_Year,Peak_Market_Share,O39&lt;Peak_Year,N49+(Peak_Market_Share-Initial_Market_Share)/(Peak_Year-Initial_Year),O39&gt;Peak_Year,MAX(N49-Market_Share_Declines,Min_Market_Share))</f>
        <v>6.4999999999999997E-3</v>
      </c>
      <c r="P49" s="39" cm="1">
        <f t="array" ref="P49">_xlfn.IFS(P39=Initial_Year,Initial_Market_Share,P39=Peak_Year,Peak_Market_Share,P39&lt;Peak_Year,O49+(Peak_Market_Share-Initial_Market_Share)/(Peak_Year-Initial_Year),P39&gt;Peak_Year,MAX(O49-Market_Share_Declines,Min_Market_Share))</f>
        <v>5.4999999999999997E-3</v>
      </c>
      <c r="Q49" s="39" cm="1">
        <f t="array" ref="Q49">_xlfn.IFS(Q39=Initial_Year,Initial_Market_Share,Q39=Peak_Year,Peak_Market_Share,Q39&lt;Peak_Year,P49+(Peak_Market_Share-Initial_Market_Share)/(Peak_Year-Initial_Year),Q39&gt;Peak_Year,MAX(P49-Market_Share_Declines,Min_Market_Share))</f>
        <v>4.4999999999999997E-3</v>
      </c>
      <c r="R49" s="39" cm="1">
        <f t="array" ref="R49">_xlfn.IFS(R39=Initial_Year,Initial_Market_Share,R39=Peak_Year,Peak_Market_Share,R39&lt;Peak_Year,Q49+(Peak_Market_Share-Initial_Market_Share)/(Peak_Year-Initial_Year),R39&gt;Peak_Year,MAX(Q49-Market_Share_Declines,Min_Market_Share))</f>
        <v>3.4999999999999996E-3</v>
      </c>
      <c r="S49" s="39" cm="1">
        <f t="array" ref="S49">_xlfn.IFS(S39=Initial_Year,Initial_Market_Share,S39=Peak_Year,Peak_Market_Share,S39&lt;Peak_Year,R49+(Peak_Market_Share-Initial_Market_Share)/(Peak_Year-Initial_Year),S39&gt;Peak_Year,MAX(R49-Market_Share_Declines,Min_Market_Share))</f>
        <v>2.4999999999999996E-3</v>
      </c>
      <c r="T49" s="39" cm="1">
        <f t="array" ref="T49">_xlfn.IFS(T39=Initial_Year,Initial_Market_Share,T39=Peak_Year,Peak_Market_Share,T39&lt;Peak_Year,S49+(Peak_Market_Share-Initial_Market_Share)/(Peak_Year-Initial_Year),T39&gt;Peak_Year,MAX(S49-Market_Share_Declines,Min_Market_Share))</f>
        <v>1.4999999999999996E-3</v>
      </c>
      <c r="U49" s="39" cm="1">
        <f t="array" ref="U49">_xlfn.IFS(U39=Initial_Year,Initial_Market_Share,U39=Peak_Year,Peak_Market_Share,U39&lt;Peak_Year,T49+(Peak_Market_Share-Initial_Market_Share)/(Peak_Year-Initial_Year),U39&gt;Peak_Year,MAX(T49-Market_Share_Declines,Min_Market_Share))</f>
        <v>1E-3</v>
      </c>
      <c r="V49" s="39" cm="1">
        <f t="array" ref="V49">_xlfn.IFS(V39=Initial_Year,Initial_Market_Share,V39=Peak_Year,Peak_Market_Share,V39&lt;Peak_Year,U49+(Peak_Market_Share-Initial_Market_Share)/(Peak_Year-Initial_Year),V39&gt;Peak_Year,MAX(U49-Market_Share_Declines,Min_Market_Share))</f>
        <v>1E-3</v>
      </c>
      <c r="W49" s="39" cm="1">
        <f t="array" ref="W49">_xlfn.IFS(W39=Initial_Year,Initial_Market_Share,W39=Peak_Year,Peak_Market_Share,W39&lt;Peak_Year,V49+(Peak_Market_Share-Initial_Market_Share)/(Peak_Year-Initial_Year),W39&gt;Peak_Year,MAX(V49-Market_Share_Declines,Min_Market_Share))</f>
        <v>1E-3</v>
      </c>
      <c r="X49" s="39" cm="1">
        <f t="array" ref="X49">_xlfn.IFS(X39=Initial_Year,Initial_Market_Share,X39=Peak_Year,Peak_Market_Share,X39&lt;Peak_Year,W49+(Peak_Market_Share-Initial_Market_Share)/(Peak_Year-Initial_Year),X39&gt;Peak_Year,MAX(W49-Market_Share_Declines,Min_Market_Share))</f>
        <v>1E-3</v>
      </c>
    </row>
    <row r="50" spans="3:24" outlineLevel="1" x14ac:dyDescent="0.35">
      <c r="C50" s="1" t="s">
        <v>29</v>
      </c>
      <c r="D50" s="2" t="s">
        <v>32</v>
      </c>
      <c r="E50" s="26">
        <f t="shared" ref="E50:H50" si="4">E49*E47</f>
        <v>0</v>
      </c>
      <c r="F50" s="26">
        <f t="shared" si="4"/>
        <v>0</v>
      </c>
      <c r="G50" s="26">
        <f t="shared" si="4"/>
        <v>0</v>
      </c>
      <c r="H50" s="26">
        <f t="shared" si="4"/>
        <v>0</v>
      </c>
      <c r="I50" s="26">
        <f>I49*I47</f>
        <v>2.8559971772749992E-2</v>
      </c>
      <c r="J50" s="26">
        <f t="shared" ref="J50:X50" si="5">J49*J47</f>
        <v>6.6213438557943594E-2</v>
      </c>
      <c r="K50" s="26">
        <f t="shared" si="5"/>
        <v>0.10446753297350682</v>
      </c>
      <c r="L50" s="26">
        <f t="shared" si="5"/>
        <v>0.14318726331977075</v>
      </c>
      <c r="M50" s="26">
        <f t="shared" si="5"/>
        <v>0.18244395098176663</v>
      </c>
      <c r="N50" s="26">
        <f t="shared" si="5"/>
        <v>0.22202251776732729</v>
      </c>
      <c r="O50" s="26">
        <f t="shared" si="5"/>
        <v>0.19357403249074043</v>
      </c>
      <c r="P50" s="26">
        <f t="shared" si="5"/>
        <v>0.1646123791680873</v>
      </c>
      <c r="Q50" s="26">
        <f t="shared" si="5"/>
        <v>0.13535626996139541</v>
      </c>
      <c r="R50" s="26">
        <f t="shared" si="5"/>
        <v>0.1058034843531574</v>
      </c>
      <c r="S50" s="26">
        <f t="shared" si="5"/>
        <v>7.5951786982087974E-2</v>
      </c>
      <c r="T50" s="26">
        <f t="shared" si="5"/>
        <v>4.5798927550199035E-2</v>
      </c>
      <c r="U50" s="26">
        <f t="shared" si="5"/>
        <v>3.0685281458633359E-2</v>
      </c>
      <c r="V50" s="26">
        <f t="shared" si="5"/>
        <v>3.0838707865926525E-2</v>
      </c>
      <c r="W50" s="26">
        <f t="shared" si="5"/>
        <v>3.0992901405256151E-2</v>
      </c>
      <c r="X50" s="26">
        <f t="shared" si="5"/>
        <v>3.114786591228243E-2</v>
      </c>
    </row>
    <row r="51" spans="3:24" outlineLevel="1" x14ac:dyDescent="0.35"/>
    <row r="52" spans="3:24" outlineLevel="1" x14ac:dyDescent="0.35">
      <c r="C52" s="1" t="s">
        <v>30</v>
      </c>
      <c r="D52" s="2" t="s">
        <v>33</v>
      </c>
      <c r="E52" s="28">
        <v>6000</v>
      </c>
      <c r="F52" s="27">
        <f>E52*(1+F53)</f>
        <v>6180</v>
      </c>
      <c r="G52" s="27">
        <f t="shared" ref="G52:X52" si="6">F52*(1+G53)</f>
        <v>6365.4000000000005</v>
      </c>
      <c r="H52" s="27">
        <f t="shared" si="6"/>
        <v>6556.362000000001</v>
      </c>
      <c r="I52" s="27">
        <f t="shared" si="6"/>
        <v>6753.0528600000016</v>
      </c>
      <c r="J52" s="27">
        <f t="shared" si="6"/>
        <v>6955.6444458000014</v>
      </c>
      <c r="K52" s="27">
        <f t="shared" si="6"/>
        <v>7164.3137791740019</v>
      </c>
      <c r="L52" s="27">
        <f t="shared" si="6"/>
        <v>7379.2431925492219</v>
      </c>
      <c r="M52" s="27">
        <f t="shared" si="6"/>
        <v>7600.6204883256987</v>
      </c>
      <c r="N52" s="27">
        <f t="shared" si="6"/>
        <v>7828.6391029754695</v>
      </c>
      <c r="O52" s="27">
        <f t="shared" si="6"/>
        <v>8063.4982760647335</v>
      </c>
      <c r="P52" s="27">
        <f t="shared" si="6"/>
        <v>8305.4032243466754</v>
      </c>
      <c r="Q52" s="27">
        <f t="shared" si="6"/>
        <v>8554.5653210770761</v>
      </c>
      <c r="R52" s="27">
        <f t="shared" si="6"/>
        <v>8811.202280709389</v>
      </c>
      <c r="S52" s="27">
        <f t="shared" si="6"/>
        <v>881.12022807093865</v>
      </c>
      <c r="T52" s="27">
        <f t="shared" si="6"/>
        <v>907.55383491306679</v>
      </c>
      <c r="U52" s="27">
        <f t="shared" si="6"/>
        <v>934.78044996045878</v>
      </c>
      <c r="V52" s="27">
        <f t="shared" si="6"/>
        <v>962.82386345927262</v>
      </c>
      <c r="W52" s="27">
        <f t="shared" si="6"/>
        <v>991.70857936305083</v>
      </c>
      <c r="X52" s="27">
        <f t="shared" si="6"/>
        <v>1021.4598367439423</v>
      </c>
    </row>
    <row r="53" spans="3:24" outlineLevel="1" x14ac:dyDescent="0.35">
      <c r="C53" s="4" t="s">
        <v>26</v>
      </c>
      <c r="D53" s="2" t="s">
        <v>4</v>
      </c>
      <c r="F53" s="40">
        <f t="shared" ref="F53:X53" si="7">IF(F39=Generics_Entry_Year,Generics_Price_Drop,Annual_Price_Growth)</f>
        <v>0.03</v>
      </c>
      <c r="G53" s="40">
        <f t="shared" si="7"/>
        <v>0.03</v>
      </c>
      <c r="H53" s="40">
        <f t="shared" si="7"/>
        <v>0.03</v>
      </c>
      <c r="I53" s="40">
        <f t="shared" si="7"/>
        <v>0.03</v>
      </c>
      <c r="J53" s="40">
        <f t="shared" si="7"/>
        <v>0.03</v>
      </c>
      <c r="K53" s="40">
        <f t="shared" si="7"/>
        <v>0.03</v>
      </c>
      <c r="L53" s="40">
        <f t="shared" si="7"/>
        <v>0.03</v>
      </c>
      <c r="M53" s="40">
        <f t="shared" si="7"/>
        <v>0.03</v>
      </c>
      <c r="N53" s="40">
        <f t="shared" si="7"/>
        <v>0.03</v>
      </c>
      <c r="O53" s="40">
        <f t="shared" si="7"/>
        <v>0.03</v>
      </c>
      <c r="P53" s="40">
        <f t="shared" si="7"/>
        <v>0.03</v>
      </c>
      <c r="Q53" s="40">
        <f t="shared" si="7"/>
        <v>0.03</v>
      </c>
      <c r="R53" s="40">
        <f t="shared" si="7"/>
        <v>0.03</v>
      </c>
      <c r="S53" s="40">
        <f t="shared" si="7"/>
        <v>-0.9</v>
      </c>
      <c r="T53" s="40">
        <f t="shared" si="7"/>
        <v>0.03</v>
      </c>
      <c r="U53" s="40">
        <f t="shared" si="7"/>
        <v>0.03</v>
      </c>
      <c r="V53" s="40">
        <f t="shared" si="7"/>
        <v>0.03</v>
      </c>
      <c r="W53" s="40">
        <f t="shared" si="7"/>
        <v>0.03</v>
      </c>
      <c r="X53" s="40">
        <f t="shared" si="7"/>
        <v>0.03</v>
      </c>
    </row>
    <row r="54" spans="3:24" outlineLevel="1" x14ac:dyDescent="0.35">
      <c r="E54" s="27"/>
    </row>
    <row r="55" spans="3:24" outlineLevel="1" x14ac:dyDescent="0.35">
      <c r="C55" s="1" t="s">
        <v>31</v>
      </c>
      <c r="D55" s="2" t="s">
        <v>5</v>
      </c>
      <c r="E55" s="27">
        <f t="shared" ref="E55:H55" si="8">E52*E50</f>
        <v>0</v>
      </c>
      <c r="F55" s="27">
        <f t="shared" si="8"/>
        <v>0</v>
      </c>
      <c r="G55" s="27">
        <f t="shared" si="8"/>
        <v>0</v>
      </c>
      <c r="H55" s="27">
        <f t="shared" si="8"/>
        <v>0</v>
      </c>
      <c r="I55" s="27">
        <f>I52*I50</f>
        <v>192.86699906148866</v>
      </c>
      <c r="J55" s="27">
        <f t="shared" ref="J55:X55" si="9">J52*J50</f>
        <v>460.55713614288004</v>
      </c>
      <c r="K55" s="27">
        <f t="shared" si="9"/>
        <v>748.43818595840924</v>
      </c>
      <c r="L55" s="27">
        <f t="shared" si="9"/>
        <v>1056.6136381121712</v>
      </c>
      <c r="M55" s="27">
        <f t="shared" si="9"/>
        <v>1386.6872318031049</v>
      </c>
      <c r="N55" s="27">
        <f t="shared" si="9"/>
        <v>1738.1341643343644</v>
      </c>
      <c r="O55" s="27">
        <f t="shared" si="9"/>
        <v>1560.8838772799841</v>
      </c>
      <c r="P55" s="27">
        <f t="shared" si="9"/>
        <v>1367.1721847100098</v>
      </c>
      <c r="Q55" s="27">
        <f t="shared" si="9"/>
        <v>1157.9140530021</v>
      </c>
      <c r="R55" s="27">
        <f t="shared" si="9"/>
        <v>932.25590263954064</v>
      </c>
      <c r="S55" s="27">
        <f t="shared" si="9"/>
        <v>66.922655868052701</v>
      </c>
      <c r="T55" s="27">
        <f t="shared" si="9"/>
        <v>41.564992333088838</v>
      </c>
      <c r="U55" s="27">
        <f t="shared" si="9"/>
        <v>28.684001209064615</v>
      </c>
      <c r="V55" s="27">
        <f t="shared" si="9"/>
        <v>29.692243851563237</v>
      </c>
      <c r="W55" s="27">
        <f t="shared" si="9"/>
        <v>30.735926222945679</v>
      </c>
      <c r="X55" s="27">
        <f t="shared" si="9"/>
        <v>31.816294029682219</v>
      </c>
    </row>
    <row r="56" spans="3:24" outlineLevel="1" x14ac:dyDescent="0.35">
      <c r="E56" s="27"/>
    </row>
    <row r="57" spans="3:24" outlineLevel="1" x14ac:dyDescent="0.35">
      <c r="C57" s="10" t="s">
        <v>71</v>
      </c>
      <c r="D57" s="2" t="s">
        <v>5</v>
      </c>
      <c r="E57" s="8">
        <f>-$L8*E$55</f>
        <v>0</v>
      </c>
      <c r="F57" s="8">
        <f t="shared" ref="F57:I60" si="10">-$L8*F$55</f>
        <v>0</v>
      </c>
      <c r="G57" s="8">
        <f t="shared" si="10"/>
        <v>0</v>
      </c>
      <c r="H57" s="8">
        <f t="shared" si="10"/>
        <v>0</v>
      </c>
      <c r="I57" s="8">
        <f t="shared" si="10"/>
        <v>-9.6433499530744342</v>
      </c>
      <c r="J57" s="8">
        <f t="shared" ref="J57:X57" si="11">-$L8*J$55</f>
        <v>-23.027856807144005</v>
      </c>
      <c r="K57" s="8">
        <f t="shared" si="11"/>
        <v>-37.421909297920465</v>
      </c>
      <c r="L57" s="8">
        <f t="shared" si="11"/>
        <v>-52.830681905608564</v>
      </c>
      <c r="M57" s="8">
        <f t="shared" si="11"/>
        <v>-69.33436159015524</v>
      </c>
      <c r="N57" s="8">
        <f t="shared" si="11"/>
        <v>-86.906708216718229</v>
      </c>
      <c r="O57" s="8">
        <f t="shared" si="11"/>
        <v>-78.044193863999212</v>
      </c>
      <c r="P57" s="8">
        <f t="shared" si="11"/>
        <v>-68.358609235500495</v>
      </c>
      <c r="Q57" s="8">
        <f t="shared" si="11"/>
        <v>-57.895702650105001</v>
      </c>
      <c r="R57" s="8">
        <f t="shared" si="11"/>
        <v>-46.612795131977037</v>
      </c>
      <c r="S57" s="8">
        <f t="shared" si="11"/>
        <v>-3.346132793402635</v>
      </c>
      <c r="T57" s="8">
        <f t="shared" si="11"/>
        <v>-2.0782496166544422</v>
      </c>
      <c r="U57" s="8">
        <f t="shared" si="11"/>
        <v>-1.4342000604532308</v>
      </c>
      <c r="V57" s="8">
        <f t="shared" si="11"/>
        <v>-1.4846121925781619</v>
      </c>
      <c r="W57" s="8">
        <f t="shared" si="11"/>
        <v>-1.536796311147284</v>
      </c>
      <c r="X57" s="8">
        <f t="shared" si="11"/>
        <v>-1.590814701484111</v>
      </c>
    </row>
    <row r="58" spans="3:24" outlineLevel="1" x14ac:dyDescent="0.35">
      <c r="C58" s="10" t="s">
        <v>11</v>
      </c>
      <c r="D58" s="2" t="s">
        <v>5</v>
      </c>
      <c r="E58" s="9">
        <v>-10</v>
      </c>
      <c r="F58" s="9">
        <v>-15</v>
      </c>
      <c r="G58" s="9">
        <v>-20</v>
      </c>
      <c r="H58" s="9">
        <v>-15</v>
      </c>
      <c r="I58" s="8">
        <f t="shared" si="10"/>
        <v>-14.465024929611648</v>
      </c>
      <c r="J58" s="8">
        <f t="shared" ref="J58:X58" si="12">-$L9*J$55</f>
        <v>-34.541785210716</v>
      </c>
      <c r="K58" s="8">
        <f t="shared" si="12"/>
        <v>-56.13286394688069</v>
      </c>
      <c r="L58" s="8">
        <f t="shared" si="12"/>
        <v>-79.246022858412843</v>
      </c>
      <c r="M58" s="8">
        <f t="shared" si="12"/>
        <v>-104.00154238523287</v>
      </c>
      <c r="N58" s="8">
        <f t="shared" si="12"/>
        <v>-130.36006232507734</v>
      </c>
      <c r="O58" s="8">
        <f t="shared" si="12"/>
        <v>-117.0662907959988</v>
      </c>
      <c r="P58" s="8">
        <f t="shared" si="12"/>
        <v>-102.53791385325073</v>
      </c>
      <c r="Q58" s="8">
        <f t="shared" si="12"/>
        <v>-86.843553975157491</v>
      </c>
      <c r="R58" s="8">
        <f t="shared" si="12"/>
        <v>-69.919192697965542</v>
      </c>
      <c r="S58" s="8">
        <f t="shared" si="12"/>
        <v>-5.0191991901039525</v>
      </c>
      <c r="T58" s="8">
        <f t="shared" si="12"/>
        <v>-3.1173744249816626</v>
      </c>
      <c r="U58" s="8">
        <f t="shared" si="12"/>
        <v>-2.1513000906798458</v>
      </c>
      <c r="V58" s="8">
        <f t="shared" si="12"/>
        <v>-2.2269182888672425</v>
      </c>
      <c r="W58" s="8">
        <f t="shared" si="12"/>
        <v>-2.3051944667209257</v>
      </c>
      <c r="X58" s="8">
        <f t="shared" si="12"/>
        <v>-2.3862220522261661</v>
      </c>
    </row>
    <row r="59" spans="3:24" outlineLevel="1" x14ac:dyDescent="0.35">
      <c r="C59" s="10" t="s">
        <v>12</v>
      </c>
      <c r="D59" s="2" t="s">
        <v>5</v>
      </c>
      <c r="E59" s="8">
        <f>-$L10*E$55</f>
        <v>0</v>
      </c>
      <c r="F59" s="8">
        <f t="shared" si="10"/>
        <v>0</v>
      </c>
      <c r="G59" s="8">
        <f t="shared" si="10"/>
        <v>0</v>
      </c>
      <c r="H59" s="8">
        <f t="shared" si="10"/>
        <v>0</v>
      </c>
      <c r="I59" s="8">
        <f t="shared" si="10"/>
        <v>-24.108374882686082</v>
      </c>
      <c r="J59" s="8">
        <f t="shared" ref="J59:X59" si="13">-$L10*J$55</f>
        <v>-57.569642017860005</v>
      </c>
      <c r="K59" s="8">
        <f t="shared" si="13"/>
        <v>-93.554773244801154</v>
      </c>
      <c r="L59" s="8">
        <f t="shared" si="13"/>
        <v>-132.0767047640214</v>
      </c>
      <c r="M59" s="8">
        <f t="shared" si="13"/>
        <v>-173.33590397538811</v>
      </c>
      <c r="N59" s="8">
        <f t="shared" si="13"/>
        <v>-217.26677054179555</v>
      </c>
      <c r="O59" s="8">
        <f t="shared" si="13"/>
        <v>-195.11048465999801</v>
      </c>
      <c r="P59" s="8">
        <f t="shared" si="13"/>
        <v>-170.89652308875122</v>
      </c>
      <c r="Q59" s="8">
        <f t="shared" si="13"/>
        <v>-144.7392566252625</v>
      </c>
      <c r="R59" s="8">
        <f t="shared" si="13"/>
        <v>-116.53198782994258</v>
      </c>
      <c r="S59" s="8">
        <f t="shared" si="13"/>
        <v>-8.3653319835065876</v>
      </c>
      <c r="T59" s="8">
        <f t="shared" si="13"/>
        <v>-5.1956240416361048</v>
      </c>
      <c r="U59" s="8">
        <f t="shared" si="13"/>
        <v>-3.5855001511330769</v>
      </c>
      <c r="V59" s="8">
        <f t="shared" si="13"/>
        <v>-3.7115304814454047</v>
      </c>
      <c r="W59" s="8">
        <f t="shared" si="13"/>
        <v>-3.8419907778682099</v>
      </c>
      <c r="X59" s="8">
        <f t="shared" si="13"/>
        <v>-3.9770367537102773</v>
      </c>
    </row>
    <row r="60" spans="3:24" outlineLevel="1" x14ac:dyDescent="0.35">
      <c r="C60" s="10" t="s">
        <v>13</v>
      </c>
      <c r="D60" s="2" t="s">
        <v>5</v>
      </c>
      <c r="E60" s="9">
        <v>-25</v>
      </c>
      <c r="F60" s="9">
        <v>-75</v>
      </c>
      <c r="G60" s="9">
        <v>-75</v>
      </c>
      <c r="H60" s="9">
        <v>-50</v>
      </c>
      <c r="I60" s="8">
        <f t="shared" si="10"/>
        <v>-9.6433499530744342</v>
      </c>
      <c r="J60" s="8">
        <f t="shared" ref="J60:X60" si="14">-$L11*J$55</f>
        <v>-23.027856807144005</v>
      </c>
      <c r="K60" s="8">
        <f t="shared" si="14"/>
        <v>-37.421909297920465</v>
      </c>
      <c r="L60" s="8">
        <f t="shared" si="14"/>
        <v>-52.830681905608564</v>
      </c>
      <c r="M60" s="8">
        <f t="shared" si="14"/>
        <v>-69.33436159015524</v>
      </c>
      <c r="N60" s="8">
        <f t="shared" si="14"/>
        <v>-86.906708216718229</v>
      </c>
      <c r="O60" s="8">
        <f t="shared" si="14"/>
        <v>-78.044193863999212</v>
      </c>
      <c r="P60" s="8">
        <f t="shared" si="14"/>
        <v>-68.358609235500495</v>
      </c>
      <c r="Q60" s="8">
        <f t="shared" si="14"/>
        <v>-57.895702650105001</v>
      </c>
      <c r="R60" s="8">
        <f t="shared" si="14"/>
        <v>-46.612795131977037</v>
      </c>
      <c r="S60" s="8">
        <f t="shared" si="14"/>
        <v>-3.346132793402635</v>
      </c>
      <c r="T60" s="8">
        <f t="shared" si="14"/>
        <v>-2.0782496166544422</v>
      </c>
      <c r="U60" s="8">
        <f t="shared" si="14"/>
        <v>-1.4342000604532308</v>
      </c>
      <c r="V60" s="8">
        <f t="shared" si="14"/>
        <v>-1.4846121925781619</v>
      </c>
      <c r="W60" s="8">
        <f t="shared" si="14"/>
        <v>-1.536796311147284</v>
      </c>
      <c r="X60" s="8">
        <f t="shared" si="14"/>
        <v>-1.590814701484111</v>
      </c>
    </row>
    <row r="61" spans="3:24" outlineLevel="1" x14ac:dyDescent="0.35">
      <c r="C61" s="5"/>
      <c r="E61" s="8"/>
      <c r="F61" s="8"/>
    </row>
    <row r="62" spans="3:24" outlineLevel="1" x14ac:dyDescent="0.35">
      <c r="C62" s="10" t="s">
        <v>34</v>
      </c>
      <c r="D62" s="2" t="s">
        <v>5</v>
      </c>
      <c r="E62" s="8">
        <f>E55+SUM(E57:E60)</f>
        <v>-35</v>
      </c>
      <c r="F62" s="8">
        <f t="shared" ref="F62:I62" si="15">F55+SUM(F57:F60)</f>
        <v>-90</v>
      </c>
      <c r="G62" s="8">
        <f t="shared" si="15"/>
        <v>-95</v>
      </c>
      <c r="H62" s="8">
        <f t="shared" si="15"/>
        <v>-65</v>
      </c>
      <c r="I62" s="8">
        <f t="shared" si="15"/>
        <v>135.00689934304205</v>
      </c>
      <c r="J62" s="8">
        <f t="shared" ref="J62:X62" si="16">J55+SUM(J57:J60)</f>
        <v>322.38999530001604</v>
      </c>
      <c r="K62" s="8">
        <f t="shared" si="16"/>
        <v>523.90673017088648</v>
      </c>
      <c r="L62" s="8">
        <f t="shared" si="16"/>
        <v>739.62954667851977</v>
      </c>
      <c r="M62" s="8">
        <f t="shared" si="16"/>
        <v>970.68106226217333</v>
      </c>
      <c r="N62" s="8">
        <f t="shared" si="16"/>
        <v>1216.693915034055</v>
      </c>
      <c r="O62" s="8">
        <f t="shared" si="16"/>
        <v>1092.6187140959887</v>
      </c>
      <c r="P62" s="8">
        <f t="shared" si="16"/>
        <v>957.02052929700687</v>
      </c>
      <c r="Q62" s="8">
        <f t="shared" si="16"/>
        <v>810.53983710146997</v>
      </c>
      <c r="R62" s="8">
        <f t="shared" si="16"/>
        <v>652.57913184767847</v>
      </c>
      <c r="S62" s="8">
        <f t="shared" si="16"/>
        <v>46.84585910763689</v>
      </c>
      <c r="T62" s="8">
        <f t="shared" si="16"/>
        <v>29.095494633162186</v>
      </c>
      <c r="U62" s="8">
        <f t="shared" si="16"/>
        <v>20.078800846345231</v>
      </c>
      <c r="V62" s="8">
        <f t="shared" si="16"/>
        <v>20.784570696094267</v>
      </c>
      <c r="W62" s="8">
        <f t="shared" si="16"/>
        <v>21.515148356061975</v>
      </c>
      <c r="X62" s="8">
        <f t="shared" si="16"/>
        <v>22.271405820777552</v>
      </c>
    </row>
    <row r="63" spans="3:24" outlineLevel="1" x14ac:dyDescent="0.35">
      <c r="C63" s="29" t="s">
        <v>35</v>
      </c>
      <c r="D63" s="2" t="s">
        <v>4</v>
      </c>
      <c r="E63" s="30" t="str">
        <f>IFERROR(E62/E55,"N/A")</f>
        <v>N/A</v>
      </c>
      <c r="F63" s="30" t="str">
        <f t="shared" ref="F63:I63" si="17">IFERROR(F62/F55,"N/A")</f>
        <v>N/A</v>
      </c>
      <c r="G63" s="30" t="str">
        <f t="shared" si="17"/>
        <v>N/A</v>
      </c>
      <c r="H63" s="30" t="str">
        <f t="shared" si="17"/>
        <v>N/A</v>
      </c>
      <c r="I63" s="30">
        <f t="shared" si="17"/>
        <v>0.7</v>
      </c>
      <c r="J63" s="30">
        <f t="shared" ref="J63" si="18">IFERROR(J62/J55,"N/A")</f>
        <v>0.70000000000000007</v>
      </c>
      <c r="K63" s="30">
        <f t="shared" ref="K63" si="19">IFERROR(K62/K55,"N/A")</f>
        <v>0.70000000000000007</v>
      </c>
      <c r="L63" s="30">
        <f t="shared" ref="L63" si="20">IFERROR(L62/L55,"N/A")</f>
        <v>0.7</v>
      </c>
      <c r="M63" s="30">
        <f t="shared" ref="M63" si="21">IFERROR(M62/M55,"N/A")</f>
        <v>0.7</v>
      </c>
      <c r="N63" s="30">
        <f t="shared" ref="N63" si="22">IFERROR(N62/N55,"N/A")</f>
        <v>0.7</v>
      </c>
      <c r="O63" s="30">
        <f t="shared" ref="O63" si="23">IFERROR(O62/O55,"N/A")</f>
        <v>0.7</v>
      </c>
      <c r="P63" s="30">
        <f t="shared" ref="P63" si="24">IFERROR(P62/P55,"N/A")</f>
        <v>0.70000000000000007</v>
      </c>
      <c r="Q63" s="30">
        <f t="shared" ref="Q63" si="25">IFERROR(Q62/Q55,"N/A")</f>
        <v>0.7</v>
      </c>
      <c r="R63" s="30">
        <f t="shared" ref="R63" si="26">IFERROR(R62/R55,"N/A")</f>
        <v>0.70000000000000007</v>
      </c>
      <c r="S63" s="30">
        <f t="shared" ref="S63" si="27">IFERROR(S62/S55,"N/A")</f>
        <v>0.7</v>
      </c>
      <c r="T63" s="30">
        <f t="shared" ref="T63" si="28">IFERROR(T62/T55,"N/A")</f>
        <v>0.7</v>
      </c>
      <c r="U63" s="30">
        <f t="shared" ref="U63" si="29">IFERROR(U62/U55,"N/A")</f>
        <v>0.70000000000000007</v>
      </c>
      <c r="V63" s="30">
        <f t="shared" ref="V63" si="30">IFERROR(V62/V55,"N/A")</f>
        <v>0.70000000000000007</v>
      </c>
      <c r="W63" s="30">
        <f t="shared" ref="W63" si="31">IFERROR(W62/W55,"N/A")</f>
        <v>0.7</v>
      </c>
      <c r="X63" s="30">
        <f t="shared" ref="X63" si="32">IFERROR(X62/X55,"N/A")</f>
        <v>0.7</v>
      </c>
    </row>
    <row r="64" spans="3:24" outlineLevel="1" x14ac:dyDescent="0.35">
      <c r="C64" s="5"/>
      <c r="E64" s="8"/>
    </row>
    <row r="65" spans="3:24" outlineLevel="1" x14ac:dyDescent="0.35">
      <c r="C65" s="10" t="s">
        <v>77</v>
      </c>
      <c r="D65" s="2" t="s">
        <v>5</v>
      </c>
      <c r="E65" s="8">
        <f t="shared" ref="E65:X65" si="33">IF(E39&lt;Initial_Year,E62,E66*E55)</f>
        <v>-35</v>
      </c>
      <c r="F65" s="8">
        <f t="shared" si="33"/>
        <v>-90</v>
      </c>
      <c r="G65" s="8">
        <f t="shared" si="33"/>
        <v>-95</v>
      </c>
      <c r="H65" s="8">
        <f t="shared" si="33"/>
        <v>-65</v>
      </c>
      <c r="I65" s="8">
        <f t="shared" si="33"/>
        <v>135.00689934304205</v>
      </c>
      <c r="J65" s="8">
        <f t="shared" si="33"/>
        <v>322.38999530001604</v>
      </c>
      <c r="K65" s="8">
        <f t="shared" si="33"/>
        <v>523.90673017088648</v>
      </c>
      <c r="L65" s="8">
        <f t="shared" si="33"/>
        <v>739.62954667851977</v>
      </c>
      <c r="M65" s="8">
        <f t="shared" si="33"/>
        <v>970.68106226217333</v>
      </c>
      <c r="N65" s="8">
        <f t="shared" si="33"/>
        <v>1216.693915034055</v>
      </c>
      <c r="O65" s="8">
        <f t="shared" si="33"/>
        <v>1092.6187140959887</v>
      </c>
      <c r="P65" s="8">
        <f t="shared" si="33"/>
        <v>957.02052929700699</v>
      </c>
      <c r="Q65" s="8">
        <f t="shared" si="33"/>
        <v>810.53983710146997</v>
      </c>
      <c r="R65" s="8">
        <f t="shared" si="33"/>
        <v>652.57913184767847</v>
      </c>
      <c r="S65" s="8">
        <f t="shared" si="33"/>
        <v>46.84585910763689</v>
      </c>
      <c r="T65" s="8">
        <f t="shared" si="33"/>
        <v>29.095494633162186</v>
      </c>
      <c r="U65" s="8">
        <f t="shared" si="33"/>
        <v>20.078800846345231</v>
      </c>
      <c r="V65" s="8">
        <f t="shared" si="33"/>
        <v>20.784570696094267</v>
      </c>
      <c r="W65" s="8">
        <f t="shared" si="33"/>
        <v>21.515148356061975</v>
      </c>
      <c r="X65" s="8">
        <f t="shared" si="33"/>
        <v>22.271405820777552</v>
      </c>
    </row>
    <row r="66" spans="3:24" outlineLevel="1" x14ac:dyDescent="0.35">
      <c r="C66" s="29" t="s">
        <v>78</v>
      </c>
      <c r="D66" s="2" t="s">
        <v>4</v>
      </c>
      <c r="E66" s="30" t="str">
        <f t="shared" ref="E66:X66" si="34">IF(E39&lt;Initial_Year,"N/A",E63+Margin_Sensitivity)</f>
        <v>N/A</v>
      </c>
      <c r="F66" s="30" t="str">
        <f t="shared" si="34"/>
        <v>N/A</v>
      </c>
      <c r="G66" s="30" t="str">
        <f t="shared" si="34"/>
        <v>N/A</v>
      </c>
      <c r="H66" s="30" t="str">
        <f t="shared" si="34"/>
        <v>N/A</v>
      </c>
      <c r="I66" s="30">
        <f t="shared" si="34"/>
        <v>0.7</v>
      </c>
      <c r="J66" s="30">
        <f t="shared" si="34"/>
        <v>0.70000000000000007</v>
      </c>
      <c r="K66" s="30">
        <f t="shared" si="34"/>
        <v>0.70000000000000007</v>
      </c>
      <c r="L66" s="30">
        <f t="shared" si="34"/>
        <v>0.7</v>
      </c>
      <c r="M66" s="30">
        <f t="shared" si="34"/>
        <v>0.7</v>
      </c>
      <c r="N66" s="30">
        <f t="shared" si="34"/>
        <v>0.7</v>
      </c>
      <c r="O66" s="30">
        <f t="shared" si="34"/>
        <v>0.7</v>
      </c>
      <c r="P66" s="30">
        <f t="shared" si="34"/>
        <v>0.70000000000000007</v>
      </c>
      <c r="Q66" s="30">
        <f t="shared" si="34"/>
        <v>0.7</v>
      </c>
      <c r="R66" s="30">
        <f t="shared" si="34"/>
        <v>0.70000000000000007</v>
      </c>
      <c r="S66" s="30">
        <f t="shared" si="34"/>
        <v>0.7</v>
      </c>
      <c r="T66" s="30">
        <f t="shared" si="34"/>
        <v>0.7</v>
      </c>
      <c r="U66" s="30">
        <f t="shared" si="34"/>
        <v>0.70000000000000007</v>
      </c>
      <c r="V66" s="30">
        <f t="shared" si="34"/>
        <v>0.70000000000000007</v>
      </c>
      <c r="W66" s="30">
        <f t="shared" si="34"/>
        <v>0.7</v>
      </c>
      <c r="X66" s="30">
        <f t="shared" si="34"/>
        <v>0.7</v>
      </c>
    </row>
    <row r="67" spans="3:24" outlineLevel="1" x14ac:dyDescent="0.35">
      <c r="C67" s="5"/>
      <c r="E67" s="8"/>
    </row>
    <row r="68" spans="3:24" outlineLevel="1" x14ac:dyDescent="0.35">
      <c r="C68" s="10" t="s">
        <v>55</v>
      </c>
      <c r="D68" s="2" t="s">
        <v>5</v>
      </c>
      <c r="E68" s="9">
        <v>150</v>
      </c>
      <c r="F68" s="8">
        <f>E71</f>
        <v>185</v>
      </c>
      <c r="G68" s="8">
        <f t="shared" ref="G68:H68" si="35">F71</f>
        <v>275</v>
      </c>
      <c r="H68" s="8">
        <f t="shared" si="35"/>
        <v>370</v>
      </c>
      <c r="I68" s="8">
        <f t="shared" ref="I68:X68" si="36">H71</f>
        <v>435</v>
      </c>
      <c r="J68" s="8">
        <f t="shared" si="36"/>
        <v>326.99448052556636</v>
      </c>
      <c r="K68" s="8">
        <f t="shared" si="36"/>
        <v>69.082484285553505</v>
      </c>
      <c r="L68" s="8">
        <f t="shared" si="36"/>
        <v>0</v>
      </c>
      <c r="M68" s="8">
        <f t="shared" si="36"/>
        <v>0</v>
      </c>
      <c r="N68" s="8">
        <f t="shared" si="36"/>
        <v>0</v>
      </c>
      <c r="O68" s="8">
        <f t="shared" si="36"/>
        <v>0</v>
      </c>
      <c r="P68" s="8">
        <f t="shared" si="36"/>
        <v>0</v>
      </c>
      <c r="Q68" s="8">
        <f t="shared" si="36"/>
        <v>0</v>
      </c>
      <c r="R68" s="8">
        <f t="shared" si="36"/>
        <v>0</v>
      </c>
      <c r="S68" s="8">
        <f t="shared" si="36"/>
        <v>0</v>
      </c>
      <c r="T68" s="8">
        <f t="shared" si="36"/>
        <v>0</v>
      </c>
      <c r="U68" s="8">
        <f t="shared" si="36"/>
        <v>0</v>
      </c>
      <c r="V68" s="8">
        <f t="shared" si="36"/>
        <v>0</v>
      </c>
      <c r="W68" s="8">
        <f t="shared" si="36"/>
        <v>0</v>
      </c>
      <c r="X68" s="8">
        <f t="shared" si="36"/>
        <v>0</v>
      </c>
    </row>
    <row r="69" spans="3:24" outlineLevel="1" x14ac:dyDescent="0.35">
      <c r="C69" s="4" t="s">
        <v>56</v>
      </c>
      <c r="D69" s="2" t="s">
        <v>5</v>
      </c>
      <c r="E69" s="8">
        <f>MAX(0,-E65)</f>
        <v>35</v>
      </c>
      <c r="F69" s="8">
        <f t="shared" ref="F69:H69" si="37">MAX(0,-F65)</f>
        <v>90</v>
      </c>
      <c r="G69" s="8">
        <f t="shared" si="37"/>
        <v>95</v>
      </c>
      <c r="H69" s="8">
        <f t="shared" si="37"/>
        <v>65</v>
      </c>
      <c r="I69" s="8">
        <f t="shared" ref="I69:X69" si="38">MAX(0,-I65)</f>
        <v>0</v>
      </c>
      <c r="J69" s="8">
        <f t="shared" si="38"/>
        <v>0</v>
      </c>
      <c r="K69" s="8">
        <f t="shared" si="38"/>
        <v>0</v>
      </c>
      <c r="L69" s="8">
        <f t="shared" si="38"/>
        <v>0</v>
      </c>
      <c r="M69" s="8">
        <f t="shared" si="38"/>
        <v>0</v>
      </c>
      <c r="N69" s="8">
        <f t="shared" si="38"/>
        <v>0</v>
      </c>
      <c r="O69" s="8">
        <f t="shared" si="38"/>
        <v>0</v>
      </c>
      <c r="P69" s="8">
        <f t="shared" si="38"/>
        <v>0</v>
      </c>
      <c r="Q69" s="8">
        <f t="shared" si="38"/>
        <v>0</v>
      </c>
      <c r="R69" s="8">
        <f t="shared" si="38"/>
        <v>0</v>
      </c>
      <c r="S69" s="8">
        <f t="shared" si="38"/>
        <v>0</v>
      </c>
      <c r="T69" s="8">
        <f t="shared" si="38"/>
        <v>0</v>
      </c>
      <c r="U69" s="8">
        <f t="shared" si="38"/>
        <v>0</v>
      </c>
      <c r="V69" s="8">
        <f t="shared" si="38"/>
        <v>0</v>
      </c>
      <c r="W69" s="8">
        <f t="shared" si="38"/>
        <v>0</v>
      </c>
      <c r="X69" s="8">
        <f t="shared" si="38"/>
        <v>0</v>
      </c>
    </row>
    <row r="70" spans="3:24" outlineLevel="1" x14ac:dyDescent="0.35">
      <c r="C70" s="41" t="s">
        <v>57</v>
      </c>
      <c r="D70" s="22" t="s">
        <v>5</v>
      </c>
      <c r="E70" s="21">
        <f t="shared" ref="E70:X70" si="39">-MIN(E68+E69,MAX(E65,0)*Allowed_NOL_Usage)</f>
        <v>0</v>
      </c>
      <c r="F70" s="21">
        <f t="shared" si="39"/>
        <v>0</v>
      </c>
      <c r="G70" s="21">
        <f t="shared" si="39"/>
        <v>0</v>
      </c>
      <c r="H70" s="21">
        <f t="shared" si="39"/>
        <v>0</v>
      </c>
      <c r="I70" s="21">
        <f t="shared" si="39"/>
        <v>-108.00551947443364</v>
      </c>
      <c r="J70" s="21">
        <f t="shared" si="39"/>
        <v>-257.91199624001285</v>
      </c>
      <c r="K70" s="21">
        <f t="shared" si="39"/>
        <v>-69.082484285553505</v>
      </c>
      <c r="L70" s="21">
        <f t="shared" si="39"/>
        <v>0</v>
      </c>
      <c r="M70" s="21">
        <f t="shared" si="39"/>
        <v>0</v>
      </c>
      <c r="N70" s="21">
        <f t="shared" si="39"/>
        <v>0</v>
      </c>
      <c r="O70" s="21">
        <f t="shared" si="39"/>
        <v>0</v>
      </c>
      <c r="P70" s="21">
        <f t="shared" si="39"/>
        <v>0</v>
      </c>
      <c r="Q70" s="21">
        <f t="shared" si="39"/>
        <v>0</v>
      </c>
      <c r="R70" s="21">
        <f t="shared" si="39"/>
        <v>0</v>
      </c>
      <c r="S70" s="21">
        <f t="shared" si="39"/>
        <v>0</v>
      </c>
      <c r="T70" s="21">
        <f t="shared" si="39"/>
        <v>0</v>
      </c>
      <c r="U70" s="21">
        <f t="shared" si="39"/>
        <v>0</v>
      </c>
      <c r="V70" s="21">
        <f t="shared" si="39"/>
        <v>0</v>
      </c>
      <c r="W70" s="21">
        <f t="shared" si="39"/>
        <v>0</v>
      </c>
      <c r="X70" s="21">
        <f t="shared" si="39"/>
        <v>0</v>
      </c>
    </row>
    <row r="71" spans="3:24" outlineLevel="1" x14ac:dyDescent="0.35">
      <c r="C71" s="32" t="s">
        <v>58</v>
      </c>
      <c r="D71" s="2" t="s">
        <v>5</v>
      </c>
      <c r="E71" s="33">
        <f>SUM(E68:E70)</f>
        <v>185</v>
      </c>
      <c r="F71" s="33">
        <f>SUM(F68:F70)</f>
        <v>275</v>
      </c>
      <c r="G71" s="33">
        <f t="shared" ref="G71:H71" si="40">SUM(G68:G70)</f>
        <v>370</v>
      </c>
      <c r="H71" s="33">
        <f t="shared" si="40"/>
        <v>435</v>
      </c>
      <c r="I71" s="33">
        <f t="shared" ref="I71" si="41">SUM(I68:I70)</f>
        <v>326.99448052556636</v>
      </c>
      <c r="J71" s="33">
        <f t="shared" ref="J71" si="42">SUM(J68:J70)</f>
        <v>69.082484285553505</v>
      </c>
      <c r="K71" s="33">
        <f t="shared" ref="K71" si="43">SUM(K68:K70)</f>
        <v>0</v>
      </c>
      <c r="L71" s="33">
        <f t="shared" ref="L71" si="44">SUM(L68:L70)</f>
        <v>0</v>
      </c>
      <c r="M71" s="33">
        <f t="shared" ref="M71" si="45">SUM(M68:M70)</f>
        <v>0</v>
      </c>
      <c r="N71" s="33">
        <f t="shared" ref="N71" si="46">SUM(N68:N70)</f>
        <v>0</v>
      </c>
      <c r="O71" s="33">
        <f t="shared" ref="O71" si="47">SUM(O68:O70)</f>
        <v>0</v>
      </c>
      <c r="P71" s="33">
        <f t="shared" ref="P71" si="48">SUM(P68:P70)</f>
        <v>0</v>
      </c>
      <c r="Q71" s="33">
        <f t="shared" ref="Q71" si="49">SUM(Q68:Q70)</f>
        <v>0</v>
      </c>
      <c r="R71" s="33">
        <f t="shared" ref="R71" si="50">SUM(R68:R70)</f>
        <v>0</v>
      </c>
      <c r="S71" s="33">
        <f t="shared" ref="S71" si="51">SUM(S68:S70)</f>
        <v>0</v>
      </c>
      <c r="T71" s="33">
        <f t="shared" ref="T71" si="52">SUM(T68:T70)</f>
        <v>0</v>
      </c>
      <c r="U71" s="33">
        <f t="shared" ref="U71" si="53">SUM(U68:U70)</f>
        <v>0</v>
      </c>
      <c r="V71" s="33">
        <f t="shared" ref="V71" si="54">SUM(V68:V70)</f>
        <v>0</v>
      </c>
      <c r="W71" s="33">
        <f t="shared" ref="W71" si="55">SUM(W68:W70)</f>
        <v>0</v>
      </c>
      <c r="X71" s="33">
        <f t="shared" ref="X71" si="56">SUM(X68:X70)</f>
        <v>0</v>
      </c>
    </row>
    <row r="72" spans="3:24" outlineLevel="1" x14ac:dyDescent="0.35">
      <c r="C72" s="4"/>
      <c r="D72" s="34"/>
      <c r="E72" s="8"/>
      <c r="I72" s="42"/>
      <c r="J72" s="42"/>
      <c r="K72" s="42"/>
      <c r="L72" s="42"/>
    </row>
    <row r="73" spans="3:24" outlineLevel="1" x14ac:dyDescent="0.35">
      <c r="C73" s="32" t="s">
        <v>59</v>
      </c>
      <c r="D73" s="2" t="s">
        <v>5</v>
      </c>
      <c r="E73" s="43">
        <f>E65+E70</f>
        <v>-35</v>
      </c>
      <c r="F73" s="43">
        <f t="shared" ref="F73:X73" si="57">F65+F70</f>
        <v>-90</v>
      </c>
      <c r="G73" s="43">
        <f t="shared" si="57"/>
        <v>-95</v>
      </c>
      <c r="H73" s="43">
        <f t="shared" si="57"/>
        <v>-65</v>
      </c>
      <c r="I73" s="43">
        <f t="shared" si="57"/>
        <v>27.00137986860841</v>
      </c>
      <c r="J73" s="43">
        <f t="shared" si="57"/>
        <v>64.477999060003185</v>
      </c>
      <c r="K73" s="43">
        <f t="shared" si="57"/>
        <v>454.82424588533297</v>
      </c>
      <c r="L73" s="43">
        <f t="shared" si="57"/>
        <v>739.62954667851977</v>
      </c>
      <c r="M73" s="43">
        <f t="shared" si="57"/>
        <v>970.68106226217333</v>
      </c>
      <c r="N73" s="43">
        <f t="shared" si="57"/>
        <v>1216.693915034055</v>
      </c>
      <c r="O73" s="43">
        <f t="shared" si="57"/>
        <v>1092.6187140959887</v>
      </c>
      <c r="P73" s="43">
        <f t="shared" si="57"/>
        <v>957.02052929700699</v>
      </c>
      <c r="Q73" s="43">
        <f t="shared" si="57"/>
        <v>810.53983710146997</v>
      </c>
      <c r="R73" s="43">
        <f t="shared" si="57"/>
        <v>652.57913184767847</v>
      </c>
      <c r="S73" s="43">
        <f t="shared" si="57"/>
        <v>46.84585910763689</v>
      </c>
      <c r="T73" s="43">
        <f t="shared" si="57"/>
        <v>29.095494633162186</v>
      </c>
      <c r="U73" s="43">
        <f t="shared" si="57"/>
        <v>20.078800846345231</v>
      </c>
      <c r="V73" s="43">
        <f t="shared" si="57"/>
        <v>20.784570696094267</v>
      </c>
      <c r="W73" s="43">
        <f t="shared" si="57"/>
        <v>21.515148356061975</v>
      </c>
      <c r="X73" s="43">
        <f t="shared" si="57"/>
        <v>22.271405820777552</v>
      </c>
    </row>
    <row r="74" spans="3:24" outlineLevel="1" x14ac:dyDescent="0.35">
      <c r="C74" s="4"/>
      <c r="D74" s="34"/>
      <c r="E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3:24" outlineLevel="1" x14ac:dyDescent="0.35">
      <c r="C75" s="4" t="s">
        <v>60</v>
      </c>
      <c r="D75" s="2" t="s">
        <v>5</v>
      </c>
      <c r="E75" s="8">
        <f t="shared" ref="E75:X75" si="58">-MAX(E73,0)*Tax_Rate</f>
        <v>0</v>
      </c>
      <c r="F75" s="8">
        <f t="shared" si="58"/>
        <v>0</v>
      </c>
      <c r="G75" s="8">
        <f t="shared" si="58"/>
        <v>0</v>
      </c>
      <c r="H75" s="8">
        <f t="shared" si="58"/>
        <v>0</v>
      </c>
      <c r="I75" s="8">
        <f t="shared" si="58"/>
        <v>-6.7503449671521025</v>
      </c>
      <c r="J75" s="8">
        <f t="shared" si="58"/>
        <v>-16.119499765000796</v>
      </c>
      <c r="K75" s="8">
        <f t="shared" si="58"/>
        <v>-113.70606147133324</v>
      </c>
      <c r="L75" s="8">
        <f t="shared" si="58"/>
        <v>-184.90738666962994</v>
      </c>
      <c r="M75" s="8">
        <f t="shared" si="58"/>
        <v>-242.67026556554333</v>
      </c>
      <c r="N75" s="8">
        <f t="shared" si="58"/>
        <v>-304.17347875851374</v>
      </c>
      <c r="O75" s="8">
        <f t="shared" si="58"/>
        <v>-273.15467852399718</v>
      </c>
      <c r="P75" s="8">
        <f t="shared" si="58"/>
        <v>-239.25513232425175</v>
      </c>
      <c r="Q75" s="8">
        <f t="shared" si="58"/>
        <v>-202.63495927536749</v>
      </c>
      <c r="R75" s="8">
        <f t="shared" si="58"/>
        <v>-163.14478296191962</v>
      </c>
      <c r="S75" s="8">
        <f t="shared" si="58"/>
        <v>-11.711464776909223</v>
      </c>
      <c r="T75" s="8">
        <f t="shared" si="58"/>
        <v>-7.2738736582905466</v>
      </c>
      <c r="U75" s="8">
        <f t="shared" si="58"/>
        <v>-5.0197002115863079</v>
      </c>
      <c r="V75" s="8">
        <f t="shared" si="58"/>
        <v>-5.1961426740235668</v>
      </c>
      <c r="W75" s="8">
        <f t="shared" si="58"/>
        <v>-5.3787870890154936</v>
      </c>
      <c r="X75" s="8">
        <f t="shared" si="58"/>
        <v>-5.5678514551943881</v>
      </c>
    </row>
    <row r="76" spans="3:24" outlineLevel="1" x14ac:dyDescent="0.35">
      <c r="C76" s="4"/>
      <c r="D76" s="34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3:24" outlineLevel="1" x14ac:dyDescent="0.35">
      <c r="C77" s="32" t="s">
        <v>61</v>
      </c>
      <c r="D77" s="2" t="s">
        <v>5</v>
      </c>
      <c r="E77" s="33">
        <f>E65+E75</f>
        <v>-35</v>
      </c>
      <c r="F77" s="33">
        <f t="shared" ref="F77:X77" si="59">F65+F75</f>
        <v>-90</v>
      </c>
      <c r="G77" s="33">
        <f t="shared" si="59"/>
        <v>-95</v>
      </c>
      <c r="H77" s="33">
        <f t="shared" si="59"/>
        <v>-65</v>
      </c>
      <c r="I77" s="33">
        <f t="shared" si="59"/>
        <v>128.25655437588995</v>
      </c>
      <c r="J77" s="33">
        <f t="shared" si="59"/>
        <v>306.27049553501524</v>
      </c>
      <c r="K77" s="33">
        <f t="shared" si="59"/>
        <v>410.20066869955326</v>
      </c>
      <c r="L77" s="33">
        <f t="shared" si="59"/>
        <v>554.72216000888989</v>
      </c>
      <c r="M77" s="33">
        <f t="shared" si="59"/>
        <v>728.01079669663</v>
      </c>
      <c r="N77" s="33">
        <f t="shared" si="59"/>
        <v>912.52043627554121</v>
      </c>
      <c r="O77" s="33">
        <f t="shared" si="59"/>
        <v>819.46403557199153</v>
      </c>
      <c r="P77" s="33">
        <f t="shared" si="59"/>
        <v>717.7653969727553</v>
      </c>
      <c r="Q77" s="33">
        <f t="shared" si="59"/>
        <v>607.90487782610251</v>
      </c>
      <c r="R77" s="33">
        <f t="shared" si="59"/>
        <v>489.43434888575882</v>
      </c>
      <c r="S77" s="33">
        <f t="shared" si="59"/>
        <v>35.134394330727666</v>
      </c>
      <c r="T77" s="33">
        <f t="shared" si="59"/>
        <v>21.821620974871639</v>
      </c>
      <c r="U77" s="33">
        <f t="shared" si="59"/>
        <v>15.059100634758924</v>
      </c>
      <c r="V77" s="33">
        <f t="shared" si="59"/>
        <v>15.588428022070701</v>
      </c>
      <c r="W77" s="33">
        <f t="shared" si="59"/>
        <v>16.136361267046482</v>
      </c>
      <c r="X77" s="33">
        <f t="shared" si="59"/>
        <v>16.703554365583166</v>
      </c>
    </row>
    <row r="78" spans="3:24" outlineLevel="1" x14ac:dyDescent="0.35">
      <c r="C78" s="5"/>
      <c r="E78" s="8"/>
    </row>
    <row r="79" spans="3:24" outlineLevel="1" x14ac:dyDescent="0.35">
      <c r="C79" s="4" t="s">
        <v>36</v>
      </c>
      <c r="D79" s="2" t="s">
        <v>5</v>
      </c>
      <c r="E79" s="8">
        <f>E55*$L$15</f>
        <v>0</v>
      </c>
      <c r="F79" s="8">
        <f t="shared" ref="F79:X79" si="60">F55*$L$15</f>
        <v>0</v>
      </c>
      <c r="G79" s="8">
        <f t="shared" si="60"/>
        <v>0</v>
      </c>
      <c r="H79" s="8">
        <f t="shared" si="60"/>
        <v>0</v>
      </c>
      <c r="I79" s="8">
        <f t="shared" si="60"/>
        <v>5.7860099718446598</v>
      </c>
      <c r="J79" s="8">
        <f t="shared" si="60"/>
        <v>13.816714084286401</v>
      </c>
      <c r="K79" s="8">
        <f t="shared" si="60"/>
        <v>22.453145578752277</v>
      </c>
      <c r="L79" s="8">
        <f t="shared" si="60"/>
        <v>31.698409143365136</v>
      </c>
      <c r="M79" s="8">
        <f t="shared" si="60"/>
        <v>41.600616954093141</v>
      </c>
      <c r="N79" s="8">
        <f t="shared" si="60"/>
        <v>52.14402493003093</v>
      </c>
      <c r="O79" s="8">
        <f t="shared" si="60"/>
        <v>46.82651631839952</v>
      </c>
      <c r="P79" s="8">
        <f t="shared" si="60"/>
        <v>41.015165541300291</v>
      </c>
      <c r="Q79" s="8">
        <f t="shared" si="60"/>
        <v>34.737421590063001</v>
      </c>
      <c r="R79" s="8">
        <f t="shared" si="60"/>
        <v>27.967677079186217</v>
      </c>
      <c r="S79" s="8">
        <f t="shared" si="60"/>
        <v>2.0076796760415809</v>
      </c>
      <c r="T79" s="8">
        <f t="shared" si="60"/>
        <v>1.246949769992665</v>
      </c>
      <c r="U79" s="8">
        <f t="shared" si="60"/>
        <v>0.8605200362719384</v>
      </c>
      <c r="V79" s="8">
        <f t="shared" si="60"/>
        <v>0.89076731554689703</v>
      </c>
      <c r="W79" s="8">
        <f t="shared" si="60"/>
        <v>0.92207778668837037</v>
      </c>
      <c r="X79" s="8">
        <f t="shared" si="60"/>
        <v>0.95448882089046649</v>
      </c>
    </row>
    <row r="80" spans="3:24" outlineLevel="1" x14ac:dyDescent="0.35">
      <c r="C80" s="4" t="s">
        <v>37</v>
      </c>
      <c r="D80" s="2" t="s">
        <v>5</v>
      </c>
      <c r="E80" s="8">
        <f>-E55*$L$16</f>
        <v>0</v>
      </c>
      <c r="F80" s="8">
        <f t="shared" ref="F80:X80" si="61">-F55*$L$16</f>
        <v>0</v>
      </c>
      <c r="G80" s="8">
        <f t="shared" si="61"/>
        <v>0</v>
      </c>
      <c r="H80" s="8">
        <f t="shared" si="61"/>
        <v>0</v>
      </c>
      <c r="I80" s="8">
        <f t="shared" si="61"/>
        <v>-9.6433499530744342</v>
      </c>
      <c r="J80" s="8">
        <f t="shared" si="61"/>
        <v>-23.027856807144005</v>
      </c>
      <c r="K80" s="8">
        <f t="shared" si="61"/>
        <v>-37.421909297920465</v>
      </c>
      <c r="L80" s="8">
        <f t="shared" si="61"/>
        <v>-52.830681905608564</v>
      </c>
      <c r="M80" s="8">
        <f t="shared" si="61"/>
        <v>-69.33436159015524</v>
      </c>
      <c r="N80" s="8">
        <f t="shared" si="61"/>
        <v>-86.906708216718229</v>
      </c>
      <c r="O80" s="8">
        <f t="shared" si="61"/>
        <v>-78.044193863999212</v>
      </c>
      <c r="P80" s="8">
        <f t="shared" si="61"/>
        <v>-68.358609235500495</v>
      </c>
      <c r="Q80" s="8">
        <f t="shared" si="61"/>
        <v>-57.895702650105001</v>
      </c>
      <c r="R80" s="8">
        <f t="shared" si="61"/>
        <v>-46.612795131977037</v>
      </c>
      <c r="S80" s="8">
        <f t="shared" si="61"/>
        <v>-3.346132793402635</v>
      </c>
      <c r="T80" s="8">
        <f t="shared" si="61"/>
        <v>-2.0782496166544422</v>
      </c>
      <c r="U80" s="8">
        <f t="shared" si="61"/>
        <v>-1.4342000604532308</v>
      </c>
      <c r="V80" s="8">
        <f t="shared" si="61"/>
        <v>-1.4846121925781619</v>
      </c>
      <c r="W80" s="8">
        <f t="shared" si="61"/>
        <v>-1.536796311147284</v>
      </c>
      <c r="X80" s="8">
        <f t="shared" si="61"/>
        <v>-1.590814701484111</v>
      </c>
    </row>
    <row r="81" spans="2:24" outlineLevel="1" x14ac:dyDescent="0.35">
      <c r="C81" s="5"/>
      <c r="E81" s="8"/>
    </row>
    <row r="82" spans="2:24" outlineLevel="1" x14ac:dyDescent="0.35">
      <c r="C82" s="32" t="s">
        <v>38</v>
      </c>
      <c r="D82" s="2" t="s">
        <v>5</v>
      </c>
      <c r="E82" s="33">
        <f>E77+SUM(E79:E80)</f>
        <v>-35</v>
      </c>
      <c r="F82" s="33">
        <f t="shared" ref="F82:X82" si="62">F77+SUM(F79:F80)</f>
        <v>-90</v>
      </c>
      <c r="G82" s="33">
        <f t="shared" si="62"/>
        <v>-95</v>
      </c>
      <c r="H82" s="33">
        <f t="shared" si="62"/>
        <v>-65</v>
      </c>
      <c r="I82" s="33">
        <f t="shared" si="62"/>
        <v>124.39921439466018</v>
      </c>
      <c r="J82" s="33">
        <f t="shared" si="62"/>
        <v>297.05935281215761</v>
      </c>
      <c r="K82" s="33">
        <f t="shared" si="62"/>
        <v>395.23190498038508</v>
      </c>
      <c r="L82" s="33">
        <f t="shared" si="62"/>
        <v>533.58988724664641</v>
      </c>
      <c r="M82" s="33">
        <f t="shared" si="62"/>
        <v>700.27705206056794</v>
      </c>
      <c r="N82" s="33">
        <f t="shared" si="62"/>
        <v>877.75775298885389</v>
      </c>
      <c r="O82" s="33">
        <f t="shared" si="62"/>
        <v>788.24635802639182</v>
      </c>
      <c r="P82" s="33">
        <f t="shared" si="62"/>
        <v>690.42195327855507</v>
      </c>
      <c r="Q82" s="33">
        <f t="shared" si="62"/>
        <v>584.74659676606052</v>
      </c>
      <c r="R82" s="33">
        <f t="shared" si="62"/>
        <v>470.78923083296797</v>
      </c>
      <c r="S82" s="33">
        <f t="shared" si="62"/>
        <v>33.795941213366611</v>
      </c>
      <c r="T82" s="33">
        <f t="shared" si="62"/>
        <v>20.99032112820986</v>
      </c>
      <c r="U82" s="33">
        <f t="shared" si="62"/>
        <v>14.485420610577631</v>
      </c>
      <c r="V82" s="33">
        <f t="shared" si="62"/>
        <v>14.994583145039437</v>
      </c>
      <c r="W82" s="33">
        <f t="shared" si="62"/>
        <v>15.521642742587568</v>
      </c>
      <c r="X82" s="33">
        <f t="shared" si="62"/>
        <v>16.067228484989521</v>
      </c>
    </row>
    <row r="83" spans="2:24" outlineLevel="1" x14ac:dyDescent="0.35">
      <c r="C83" s="32" t="s">
        <v>39</v>
      </c>
      <c r="D83" s="2" t="s">
        <v>5</v>
      </c>
      <c r="E83" s="33">
        <f>E82</f>
        <v>-35</v>
      </c>
      <c r="F83" s="33">
        <f>F82*$E$8</f>
        <v>-34.56</v>
      </c>
      <c r="G83" s="33">
        <f t="shared" ref="G83:H83" si="63">G82*$E$8</f>
        <v>-36.480000000000004</v>
      </c>
      <c r="H83" s="33">
        <f t="shared" si="63"/>
        <v>-24.96</v>
      </c>
      <c r="I83" s="33">
        <f>I82*$E$12</f>
        <v>28.401714013627839</v>
      </c>
      <c r="J83" s="33">
        <f t="shared" ref="J83:X83" si="64">J82*$E$12</f>
        <v>67.82192978227063</v>
      </c>
      <c r="K83" s="33">
        <f t="shared" si="64"/>
        <v>90.235807267252909</v>
      </c>
      <c r="L83" s="33">
        <f t="shared" si="64"/>
        <v>121.82446209076458</v>
      </c>
      <c r="M83" s="33">
        <f t="shared" si="64"/>
        <v>159.88098204408243</v>
      </c>
      <c r="N83" s="33">
        <f t="shared" si="64"/>
        <v>200.40178545294836</v>
      </c>
      <c r="O83" s="33">
        <f t="shared" si="64"/>
        <v>179.96534577721789</v>
      </c>
      <c r="P83" s="33">
        <f t="shared" si="64"/>
        <v>157.63095419185834</v>
      </c>
      <c r="Q83" s="33">
        <f t="shared" si="64"/>
        <v>133.50410364411994</v>
      </c>
      <c r="R83" s="33">
        <f t="shared" si="64"/>
        <v>107.486378912275</v>
      </c>
      <c r="S83" s="33">
        <f t="shared" si="64"/>
        <v>7.7159864862025938</v>
      </c>
      <c r="T83" s="33">
        <f t="shared" si="64"/>
        <v>4.7923220467155669</v>
      </c>
      <c r="U83" s="33">
        <f t="shared" si="64"/>
        <v>3.307181444438414</v>
      </c>
      <c r="V83" s="33">
        <f t="shared" si="64"/>
        <v>3.4234288722104251</v>
      </c>
      <c r="W83" s="33">
        <f t="shared" si="64"/>
        <v>3.5437623970686203</v>
      </c>
      <c r="X83" s="33">
        <f t="shared" si="64"/>
        <v>3.6683256453255821</v>
      </c>
    </row>
    <row r="84" spans="2:24" outlineLevel="1" x14ac:dyDescent="0.35">
      <c r="C84" s="29" t="s">
        <v>26</v>
      </c>
      <c r="D84" s="2" t="s">
        <v>4</v>
      </c>
      <c r="E84" s="30"/>
      <c r="F84" s="30">
        <f>F83/E83-1</f>
        <v>-1.2571428571428456E-2</v>
      </c>
      <c r="G84" s="30">
        <f t="shared" ref="G84:X84" si="65">G83/F83-1</f>
        <v>5.555555555555558E-2</v>
      </c>
      <c r="H84" s="30">
        <f t="shared" si="65"/>
        <v>-0.31578947368421062</v>
      </c>
      <c r="I84" s="30">
        <f t="shared" si="65"/>
        <v>-2.1378891832382947</v>
      </c>
      <c r="J84" s="30">
        <f t="shared" si="65"/>
        <v>1.3879520000000003</v>
      </c>
      <c r="K84" s="30">
        <f t="shared" si="65"/>
        <v>0.33048126995114635</v>
      </c>
      <c r="L84" s="30">
        <f t="shared" si="65"/>
        <v>0.35006784756693121</v>
      </c>
      <c r="M84" s="30">
        <f t="shared" si="65"/>
        <v>0.31238816326530605</v>
      </c>
      <c r="N84" s="30">
        <f t="shared" si="65"/>
        <v>0.25344354838709671</v>
      </c>
      <c r="O84" s="30">
        <f t="shared" si="65"/>
        <v>-0.10197733333333336</v>
      </c>
      <c r="P84" s="30">
        <f t="shared" si="65"/>
        <v>-0.12410384615384606</v>
      </c>
      <c r="Q84" s="30">
        <f t="shared" si="65"/>
        <v>-0.15305909090909098</v>
      </c>
      <c r="R84" s="30">
        <f t="shared" si="65"/>
        <v>-0.19488333333333352</v>
      </c>
      <c r="S84" s="30">
        <f t="shared" si="65"/>
        <v>-0.92821428571428577</v>
      </c>
      <c r="T84" s="30">
        <f t="shared" si="65"/>
        <v>-0.3789100000000003</v>
      </c>
      <c r="U84" s="30">
        <f t="shared" si="65"/>
        <v>-0.30989999999999973</v>
      </c>
      <c r="V84" s="30">
        <f t="shared" si="65"/>
        <v>3.5150000000000237E-2</v>
      </c>
      <c r="W84" s="30">
        <f t="shared" si="65"/>
        <v>3.514999999999957E-2</v>
      </c>
      <c r="X84" s="30">
        <f t="shared" si="65"/>
        <v>3.5150000000000015E-2</v>
      </c>
    </row>
    <row r="86" spans="2:24" x14ac:dyDescent="0.35">
      <c r="B86" s="50" t="s">
        <v>68</v>
      </c>
      <c r="C86" s="50"/>
      <c r="D86" s="50"/>
      <c r="E86" s="50"/>
      <c r="F86" s="51"/>
      <c r="G86" s="51"/>
      <c r="H86" s="52"/>
      <c r="I86" s="5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</row>
    <row r="87" spans="2:24" outlineLevel="1" x14ac:dyDescent="0.35"/>
    <row r="88" spans="2:24" outlineLevel="1" x14ac:dyDescent="0.35">
      <c r="C88" s="55" t="s">
        <v>72</v>
      </c>
      <c r="D88" s="34"/>
      <c r="E88" s="34"/>
      <c r="F88" s="34"/>
      <c r="M88" s="81"/>
      <c r="N88" s="83"/>
      <c r="O88" s="82"/>
      <c r="P88" s="82"/>
      <c r="Q88" s="82"/>
      <c r="R88" s="82"/>
      <c r="S88" s="82"/>
      <c r="T88" s="82"/>
      <c r="U88" s="82"/>
      <c r="V88" s="82"/>
    </row>
    <row r="89" spans="2:24" outlineLevel="1" x14ac:dyDescent="0.35">
      <c r="C89" s="34"/>
      <c r="D89" s="34"/>
      <c r="E89" s="34"/>
      <c r="F89" s="34"/>
    </row>
    <row r="90" spans="2:24" outlineLevel="1" x14ac:dyDescent="0.35">
      <c r="C90" s="56"/>
      <c r="D90" s="57"/>
      <c r="E90" s="58" t="s">
        <v>73</v>
      </c>
      <c r="F90" s="58"/>
      <c r="G90" s="59"/>
      <c r="H90" s="59"/>
      <c r="I90" s="59"/>
      <c r="J90" s="59"/>
      <c r="K90" s="59"/>
    </row>
    <row r="91" spans="2:24" outlineLevel="1" x14ac:dyDescent="0.35">
      <c r="C91" s="60"/>
      <c r="D91" s="61">
        <f>$E$37</f>
        <v>434.85233642262227</v>
      </c>
      <c r="E91" s="62">
        <v>0.16500000000000001</v>
      </c>
      <c r="F91" s="62">
        <f>E91+2%</f>
        <v>0.185</v>
      </c>
      <c r="G91" s="62">
        <f t="shared" ref="G91:K91" si="66">F91+2%</f>
        <v>0.20499999999999999</v>
      </c>
      <c r="H91" s="62">
        <f t="shared" si="66"/>
        <v>0.22499999999999998</v>
      </c>
      <c r="I91" s="62">
        <f t="shared" si="66"/>
        <v>0.24499999999999997</v>
      </c>
      <c r="J91" s="62">
        <f t="shared" si="66"/>
        <v>0.26499999999999996</v>
      </c>
      <c r="K91" s="62">
        <f t="shared" si="66"/>
        <v>0.28499999999999998</v>
      </c>
    </row>
    <row r="92" spans="2:24" outlineLevel="1" x14ac:dyDescent="0.35">
      <c r="C92" s="84" t="s">
        <v>70</v>
      </c>
      <c r="D92" s="62">
        <v>0.12</v>
      </c>
      <c r="E92" s="64">
        <f t="dataTable" ref="E92:K96" dt2D="1" dtr="1" r1="E12" r2="L25"/>
        <v>246.66816226863335</v>
      </c>
      <c r="F92" s="65">
        <v>282.70421770548353</v>
      </c>
      <c r="G92" s="65">
        <v>318.74027314233376</v>
      </c>
      <c r="H92" s="65">
        <v>354.776328579184</v>
      </c>
      <c r="I92" s="65">
        <v>390.81238401603423</v>
      </c>
      <c r="J92" s="65">
        <v>426.84843945288446</v>
      </c>
      <c r="K92" s="65">
        <v>462.8844948897347</v>
      </c>
    </row>
    <row r="93" spans="2:24" outlineLevel="1" x14ac:dyDescent="0.35">
      <c r="C93" s="85"/>
      <c r="D93" s="62">
        <f>D92-1%</f>
        <v>0.11</v>
      </c>
      <c r="E93" s="66">
        <v>271.45914476954613</v>
      </c>
      <c r="F93" s="67">
        <v>310.75079741178973</v>
      </c>
      <c r="G93" s="67">
        <v>350.0424500540334</v>
      </c>
      <c r="H93" s="67">
        <v>389.33410269627689</v>
      </c>
      <c r="I93" s="67">
        <v>428.62575533852061</v>
      </c>
      <c r="J93" s="67">
        <v>467.91740798076421</v>
      </c>
      <c r="K93" s="67">
        <v>507.20906062300799</v>
      </c>
    </row>
    <row r="94" spans="2:24" outlineLevel="1" x14ac:dyDescent="0.35">
      <c r="C94" s="85"/>
      <c r="D94" s="62">
        <f t="shared" ref="D94:D96" si="67">D93-1%</f>
        <v>0.1</v>
      </c>
      <c r="E94" s="66">
        <v>299.06088700585741</v>
      </c>
      <c r="F94" s="67">
        <v>341.95749695469556</v>
      </c>
      <c r="G94" s="67">
        <v>384.85410690353376</v>
      </c>
      <c r="H94" s="67">
        <v>427.75071685237202</v>
      </c>
      <c r="I94" s="67">
        <v>470.64732680121023</v>
      </c>
      <c r="J94" s="67">
        <v>513.54393675004849</v>
      </c>
      <c r="K94" s="67">
        <v>556.44054669888669</v>
      </c>
    </row>
    <row r="95" spans="2:24" outlineLevel="1" x14ac:dyDescent="0.35">
      <c r="C95" s="85"/>
      <c r="D95" s="62">
        <f t="shared" si="67"/>
        <v>9.0000000000000011E-2</v>
      </c>
      <c r="E95" s="66">
        <v>329.82642554336235</v>
      </c>
      <c r="F95" s="67">
        <v>376.72054972210037</v>
      </c>
      <c r="G95" s="67">
        <v>423.61467390083857</v>
      </c>
      <c r="H95" s="67">
        <v>470.50879807957654</v>
      </c>
      <c r="I95" s="67">
        <v>517.40292225831445</v>
      </c>
      <c r="J95" s="67">
        <v>564.29704643705247</v>
      </c>
      <c r="K95" s="67">
        <v>611.19117061579061</v>
      </c>
    </row>
    <row r="96" spans="2:24" outlineLevel="1" x14ac:dyDescent="0.35">
      <c r="C96" s="86"/>
      <c r="D96" s="63">
        <f t="shared" si="67"/>
        <v>8.0000000000000016E-2</v>
      </c>
      <c r="E96" s="66">
        <v>364.15835565537486</v>
      </c>
      <c r="F96" s="67">
        <v>415.49177843969329</v>
      </c>
      <c r="G96" s="67">
        <v>466.82520122401172</v>
      </c>
      <c r="H96" s="67">
        <v>518.15862400833021</v>
      </c>
      <c r="I96" s="67">
        <v>569.49204679264858</v>
      </c>
      <c r="J96" s="67">
        <v>620.82546957696707</v>
      </c>
      <c r="K96" s="67">
        <v>672.15889236128555</v>
      </c>
    </row>
    <row r="97" spans="3:13" outlineLevel="1" x14ac:dyDescent="0.35"/>
    <row r="98" spans="3:13" outlineLevel="1" x14ac:dyDescent="0.35">
      <c r="C98" s="55" t="s">
        <v>74</v>
      </c>
      <c r="D98" s="34"/>
      <c r="E98" s="34"/>
      <c r="F98" s="34"/>
    </row>
    <row r="99" spans="3:13" outlineLevel="1" x14ac:dyDescent="0.35">
      <c r="C99" s="34"/>
      <c r="D99" s="34"/>
      <c r="E99" s="34"/>
      <c r="F99" s="34"/>
    </row>
    <row r="100" spans="3:13" outlineLevel="1" x14ac:dyDescent="0.35">
      <c r="C100" s="56"/>
      <c r="D100" s="57"/>
      <c r="E100" s="58" t="s">
        <v>52</v>
      </c>
      <c r="F100" s="58"/>
      <c r="G100" s="59"/>
      <c r="H100" s="59"/>
      <c r="I100" s="59"/>
      <c r="J100" s="59"/>
      <c r="K100" s="59"/>
    </row>
    <row r="101" spans="3:13" outlineLevel="1" x14ac:dyDescent="0.35">
      <c r="C101" s="60"/>
      <c r="D101" s="61">
        <f>$E$37</f>
        <v>434.85233642262227</v>
      </c>
      <c r="E101" s="68">
        <v>14</v>
      </c>
      <c r="F101" s="68">
        <f>E101+1</f>
        <v>15</v>
      </c>
      <c r="G101" s="68">
        <f t="shared" ref="G101:K101" si="68">F101+1</f>
        <v>16</v>
      </c>
      <c r="H101" s="68">
        <f t="shared" si="68"/>
        <v>17</v>
      </c>
      <c r="I101" s="68">
        <f t="shared" si="68"/>
        <v>18</v>
      </c>
      <c r="J101" s="68">
        <f t="shared" si="68"/>
        <v>19</v>
      </c>
      <c r="K101" s="68">
        <f t="shared" si="68"/>
        <v>20</v>
      </c>
    </row>
    <row r="102" spans="3:13" outlineLevel="1" x14ac:dyDescent="0.35">
      <c r="C102" s="84" t="s">
        <v>70</v>
      </c>
      <c r="D102" s="62">
        <f>D92</f>
        <v>0.12</v>
      </c>
      <c r="E102" s="64">
        <f t="dataTable" ref="E102:K106" dt2D="1" dtr="1" r1="E26" r2="L25" ca="1"/>
        <v>340.88365145219927</v>
      </c>
      <c r="F102" s="65">
        <v>360.7421696288655</v>
      </c>
      <c r="G102" s="65">
        <v>373.85221114071248</v>
      </c>
      <c r="H102" s="65">
        <v>381.12231442874196</v>
      </c>
      <c r="I102" s="65">
        <v>385.60186646362519</v>
      </c>
      <c r="J102" s="65">
        <v>389.74205243586562</v>
      </c>
      <c r="K102" s="65">
        <v>393.56858235476267</v>
      </c>
    </row>
    <row r="103" spans="3:13" outlineLevel="1" x14ac:dyDescent="0.35">
      <c r="C103" s="85"/>
      <c r="D103" s="62">
        <f t="shared" ref="D103:D106" si="69">D93</f>
        <v>0.11</v>
      </c>
      <c r="E103" s="66">
        <v>373.32362914417956</v>
      </c>
      <c r="F103" s="67">
        <v>395.83891437450575</v>
      </c>
      <c r="G103" s="67">
        <v>410.8367892176023</v>
      </c>
      <c r="H103" s="67">
        <v>419.22870821426795</v>
      </c>
      <c r="I103" s="67">
        <v>424.44606253823099</v>
      </c>
      <c r="J103" s="67">
        <v>429.31159796926732</v>
      </c>
      <c r="K103" s="67">
        <v>433.84903851110266</v>
      </c>
    </row>
    <row r="104" spans="3:13" outlineLevel="1" x14ac:dyDescent="0.35">
      <c r="C104" s="85"/>
      <c r="D104" s="62">
        <f t="shared" si="69"/>
        <v>0.1</v>
      </c>
      <c r="E104" s="66">
        <v>409.29582538261957</v>
      </c>
      <c r="F104" s="67">
        <v>434.85233642262227</v>
      </c>
      <c r="G104" s="67">
        <v>452.03079252850461</v>
      </c>
      <c r="H104" s="67">
        <v>461.73021734923407</v>
      </c>
      <c r="I104" s="67">
        <v>467.81528377540258</v>
      </c>
      <c r="J104" s="67">
        <v>473.54160787635567</v>
      </c>
      <c r="K104" s="67">
        <v>478.93033914281165</v>
      </c>
      <c r="M104" s="79"/>
    </row>
    <row r="105" spans="3:13" outlineLevel="1" x14ac:dyDescent="0.35">
      <c r="C105" s="85"/>
      <c r="D105" s="62">
        <f t="shared" si="69"/>
        <v>9.0000000000000011E-2</v>
      </c>
      <c r="E105" s="66">
        <v>449.23010286006451</v>
      </c>
      <c r="F105" s="67">
        <v>478.27221412561505</v>
      </c>
      <c r="G105" s="67">
        <v>497.97270002111611</v>
      </c>
      <c r="H105" s="67">
        <v>509.19818147509477</v>
      </c>
      <c r="I105" s="67">
        <v>516.3052500543522</v>
      </c>
      <c r="J105" s="67">
        <v>523.05468311840582</v>
      </c>
      <c r="K105" s="67">
        <v>529.46447728010776</v>
      </c>
    </row>
    <row r="106" spans="3:13" outlineLevel="1" x14ac:dyDescent="0.35">
      <c r="C106" s="86"/>
      <c r="D106" s="63">
        <f t="shared" si="69"/>
        <v>8.0000000000000016E-2</v>
      </c>
      <c r="E106" s="66">
        <v>493.61495561124553</v>
      </c>
      <c r="F106" s="67">
        <v>526.65697481711982</v>
      </c>
      <c r="G106" s="67">
        <v>549.27830165637965</v>
      </c>
      <c r="H106" s="67">
        <v>562.2874496995239</v>
      </c>
      <c r="I106" s="67">
        <v>570.60005438894416</v>
      </c>
      <c r="J106" s="67">
        <v>578.56745507806761</v>
      </c>
      <c r="K106" s="67">
        <v>586.20398732190665</v>
      </c>
      <c r="M106" s="79"/>
    </row>
    <row r="107" spans="3:13" outlineLevel="1" x14ac:dyDescent="0.35">
      <c r="M107" s="79"/>
    </row>
    <row r="108" spans="3:13" outlineLevel="1" x14ac:dyDescent="0.35">
      <c r="C108" s="55" t="s">
        <v>75</v>
      </c>
      <c r="D108" s="34"/>
      <c r="E108" s="34"/>
      <c r="F108" s="34"/>
      <c r="M108" s="79"/>
    </row>
    <row r="109" spans="3:13" outlineLevel="1" x14ac:dyDescent="0.35">
      <c r="C109" s="34"/>
      <c r="D109" s="34"/>
      <c r="E109" s="34"/>
      <c r="F109" s="34"/>
      <c r="M109" s="79"/>
    </row>
    <row r="110" spans="3:13" outlineLevel="1" x14ac:dyDescent="0.35">
      <c r="C110" s="56"/>
      <c r="D110" s="57"/>
      <c r="E110" s="58" t="s">
        <v>80</v>
      </c>
      <c r="F110" s="58"/>
      <c r="G110" s="59"/>
      <c r="H110" s="59"/>
      <c r="I110" s="59"/>
      <c r="J110" s="59"/>
      <c r="K110" s="59"/>
      <c r="M110" s="79"/>
    </row>
    <row r="111" spans="3:13" outlineLevel="1" x14ac:dyDescent="0.35">
      <c r="C111" s="60"/>
      <c r="D111" s="61">
        <f>$E$37</f>
        <v>434.85233642262227</v>
      </c>
      <c r="E111" s="62">
        <v>-7.4999999999999997E-2</v>
      </c>
      <c r="F111" s="62">
        <f>E111+2.5%</f>
        <v>-4.9999999999999996E-2</v>
      </c>
      <c r="G111" s="62">
        <f t="shared" ref="G111:K111" si="70">F111+2.5%</f>
        <v>-2.4999999999999994E-2</v>
      </c>
      <c r="H111" s="62">
        <f t="shared" si="70"/>
        <v>0</v>
      </c>
      <c r="I111" s="62">
        <f t="shared" si="70"/>
        <v>2.5000000000000001E-2</v>
      </c>
      <c r="J111" s="62">
        <f t="shared" si="70"/>
        <v>0.05</v>
      </c>
      <c r="K111" s="62">
        <f t="shared" si="70"/>
        <v>7.5000000000000011E-2</v>
      </c>
    </row>
    <row r="112" spans="3:13" outlineLevel="1" x14ac:dyDescent="0.35">
      <c r="C112" s="84" t="s">
        <v>70</v>
      </c>
      <c r="D112" s="62">
        <f>D102</f>
        <v>0.12</v>
      </c>
      <c r="E112" s="64">
        <f t="dataTable" ref="E112:K116" dt2D="1" dtr="1" r1="L13" r2="L25" ca="1"/>
        <v>316.17850277079322</v>
      </c>
      <c r="F112" s="65">
        <v>331.03305839015064</v>
      </c>
      <c r="G112" s="65">
        <v>345.88761400950807</v>
      </c>
      <c r="H112" s="65">
        <v>360.7421696288655</v>
      </c>
      <c r="I112" s="65">
        <v>375.59672524822292</v>
      </c>
      <c r="J112" s="65">
        <v>390.45128086758035</v>
      </c>
      <c r="K112" s="65">
        <v>405.30583648693772</v>
      </c>
      <c r="M112" s="79"/>
    </row>
    <row r="113" spans="3:13" outlineLevel="1" x14ac:dyDescent="0.35">
      <c r="C113" s="85"/>
      <c r="D113" s="62">
        <f t="shared" ref="D113:D116" si="71">D103</f>
        <v>0.11</v>
      </c>
      <c r="E113" s="66">
        <v>347.21653417536385</v>
      </c>
      <c r="F113" s="67">
        <v>363.42399424174442</v>
      </c>
      <c r="G113" s="67">
        <v>379.63145430812511</v>
      </c>
      <c r="H113" s="67">
        <v>395.83891437450575</v>
      </c>
      <c r="I113" s="67">
        <v>412.04637444088644</v>
      </c>
      <c r="J113" s="67">
        <v>428.25383450726713</v>
      </c>
      <c r="K113" s="67">
        <v>444.46129457364776</v>
      </c>
      <c r="M113" s="79"/>
    </row>
    <row r="114" spans="3:13" outlineLevel="1" x14ac:dyDescent="0.35">
      <c r="C114" s="85"/>
      <c r="D114" s="62">
        <f t="shared" si="71"/>
        <v>0.1</v>
      </c>
      <c r="E114" s="66">
        <v>381.73303517547953</v>
      </c>
      <c r="F114" s="67">
        <v>399.43946892452709</v>
      </c>
      <c r="G114" s="67">
        <v>417.1459026735746</v>
      </c>
      <c r="H114" s="67">
        <v>434.85233642262227</v>
      </c>
      <c r="I114" s="67">
        <v>452.55877017166978</v>
      </c>
      <c r="J114" s="67">
        <v>470.26520392071728</v>
      </c>
      <c r="K114" s="67">
        <v>487.97163766976485</v>
      </c>
    </row>
    <row r="115" spans="3:13" outlineLevel="1" x14ac:dyDescent="0.35">
      <c r="C115" s="85"/>
      <c r="D115" s="62">
        <f t="shared" si="71"/>
        <v>9.0000000000000011E-2</v>
      </c>
      <c r="E115" s="66">
        <v>420.16336657806238</v>
      </c>
      <c r="F115" s="67">
        <v>439.53298242724657</v>
      </c>
      <c r="G115" s="67">
        <v>458.90259827643069</v>
      </c>
      <c r="H115" s="67">
        <v>478.27221412561505</v>
      </c>
      <c r="I115" s="67">
        <v>497.64182997479935</v>
      </c>
      <c r="J115" s="67">
        <v>517.01144582398354</v>
      </c>
      <c r="K115" s="67">
        <v>536.38106167316789</v>
      </c>
    </row>
    <row r="116" spans="3:13" outlineLevel="1" x14ac:dyDescent="0.35">
      <c r="C116" s="86"/>
      <c r="D116" s="63">
        <f t="shared" si="71"/>
        <v>8.0000000000000016E-2</v>
      </c>
      <c r="E116" s="66">
        <v>463.00391830860917</v>
      </c>
      <c r="F116" s="67">
        <v>484.22160381144607</v>
      </c>
      <c r="G116" s="67">
        <v>505.43928931428303</v>
      </c>
      <c r="H116" s="67">
        <v>526.65697481711982</v>
      </c>
      <c r="I116" s="67">
        <v>547.87466031995677</v>
      </c>
      <c r="J116" s="67">
        <v>569.0923458227935</v>
      </c>
      <c r="K116" s="67">
        <v>590.31003132563046</v>
      </c>
    </row>
    <row r="117" spans="3:13" outlineLevel="1" x14ac:dyDescent="0.35"/>
    <row r="118" spans="3:13" outlineLevel="1" x14ac:dyDescent="0.35">
      <c r="C118" s="55" t="s">
        <v>76</v>
      </c>
      <c r="D118" s="34"/>
      <c r="E118" s="34"/>
      <c r="F118" s="34"/>
    </row>
    <row r="119" spans="3:13" outlineLevel="1" x14ac:dyDescent="0.35">
      <c r="C119" s="34"/>
      <c r="D119" s="34"/>
      <c r="E119" s="34"/>
      <c r="F119" s="34"/>
    </row>
    <row r="120" spans="3:13" outlineLevel="1" x14ac:dyDescent="0.35">
      <c r="C120" s="56"/>
      <c r="D120" s="57"/>
      <c r="E120" s="58" t="s">
        <v>49</v>
      </c>
      <c r="F120" s="58"/>
      <c r="G120" s="59"/>
      <c r="H120" s="59"/>
      <c r="I120" s="59"/>
      <c r="J120" s="59"/>
      <c r="K120" s="59"/>
    </row>
    <row r="121" spans="3:13" outlineLevel="1" x14ac:dyDescent="0.35">
      <c r="C121" s="60"/>
      <c r="D121" s="61">
        <f>$E$37</f>
        <v>434.85233642262227</v>
      </c>
      <c r="E121" s="69">
        <v>4.0000000000000001E-3</v>
      </c>
      <c r="F121" s="69">
        <f>E121+0.1%</f>
        <v>5.0000000000000001E-3</v>
      </c>
      <c r="G121" s="69">
        <f t="shared" ref="G121:K121" si="72">F121+0.1%</f>
        <v>6.0000000000000001E-3</v>
      </c>
      <c r="H121" s="69">
        <f t="shared" si="72"/>
        <v>7.0000000000000001E-3</v>
      </c>
      <c r="I121" s="69">
        <f t="shared" si="72"/>
        <v>8.0000000000000002E-3</v>
      </c>
      <c r="J121" s="69">
        <f t="shared" si="72"/>
        <v>9.0000000000000011E-3</v>
      </c>
      <c r="K121" s="69">
        <f t="shared" si="72"/>
        <v>1.0000000000000002E-2</v>
      </c>
    </row>
    <row r="122" spans="3:13" outlineLevel="1" x14ac:dyDescent="0.35">
      <c r="C122" s="84" t="s">
        <v>44</v>
      </c>
      <c r="D122" s="71">
        <v>8</v>
      </c>
      <c r="E122" s="64">
        <f t="dataTable" ref="E122:K126" dt2D="1" dtr="1" r1="E19" r2="E20" ca="1"/>
        <v>175.15125577794493</v>
      </c>
      <c r="F122" s="65">
        <v>230.34574937569641</v>
      </c>
      <c r="G122" s="65">
        <v>294.67225748810529</v>
      </c>
      <c r="H122" s="65">
        <v>367.56483730169282</v>
      </c>
      <c r="I122" s="65">
        <v>448.46251127044013</v>
      </c>
      <c r="J122" s="65">
        <v>530.09904356632194</v>
      </c>
      <c r="K122" s="65">
        <v>612.43087513250714</v>
      </c>
    </row>
    <row r="123" spans="3:13" outlineLevel="1" x14ac:dyDescent="0.35">
      <c r="C123" s="85"/>
      <c r="D123" s="71">
        <f>D122+1</f>
        <v>9</v>
      </c>
      <c r="E123" s="66">
        <v>187.9043025282358</v>
      </c>
      <c r="F123" s="67">
        <v>246.16774680529306</v>
      </c>
      <c r="G123" s="67">
        <v>313.02483183221187</v>
      </c>
      <c r="H123" s="67">
        <v>387.96892342478429</v>
      </c>
      <c r="I123" s="67">
        <v>463.65187334449149</v>
      </c>
      <c r="J123" s="67">
        <v>540.00255348581902</v>
      </c>
      <c r="K123" s="67">
        <v>616.95299979931451</v>
      </c>
    </row>
    <row r="124" spans="3:13" outlineLevel="1" x14ac:dyDescent="0.35">
      <c r="C124" s="85"/>
      <c r="D124" s="71">
        <f t="shared" ref="D124:D126" si="73">D123+1</f>
        <v>10</v>
      </c>
      <c r="E124" s="66">
        <v>199.56693879355441</v>
      </c>
      <c r="F124" s="67">
        <v>260.59892281900579</v>
      </c>
      <c r="G124" s="67">
        <v>329.71791341011095</v>
      </c>
      <c r="H124" s="67">
        <v>399.57576232835083</v>
      </c>
      <c r="I124" s="67">
        <v>470.12891051689371</v>
      </c>
      <c r="J124" s="67">
        <v>541.33636692330435</v>
      </c>
      <c r="K124" s="67">
        <v>613.15955710401113</v>
      </c>
    </row>
    <row r="125" spans="3:13" outlineLevel="1" x14ac:dyDescent="0.35">
      <c r="C125" s="85"/>
      <c r="D125" s="71">
        <f t="shared" si="73"/>
        <v>11</v>
      </c>
      <c r="E125" s="66">
        <v>210.19560409598557</v>
      </c>
      <c r="F125" s="67">
        <v>273.7142259400884</v>
      </c>
      <c r="G125" s="67">
        <v>337.97170611132606</v>
      </c>
      <c r="H125" s="67">
        <v>402.92448555286677</v>
      </c>
      <c r="I125" s="67">
        <v>468.53157321227508</v>
      </c>
      <c r="J125" s="67">
        <v>534.75439464597957</v>
      </c>
      <c r="K125" s="67">
        <v>601.55664954919541</v>
      </c>
    </row>
    <row r="126" spans="3:13" outlineLevel="1" x14ac:dyDescent="0.35">
      <c r="C126" s="86"/>
      <c r="D126" s="70">
        <f t="shared" si="73"/>
        <v>12</v>
      </c>
      <c r="E126" s="66">
        <v>219.84856877733077</v>
      </c>
      <c r="F126" s="67">
        <v>278.71948323229253</v>
      </c>
      <c r="G126" s="67">
        <v>338.28569695755755</v>
      </c>
      <c r="H126" s="67">
        <v>398.50621890069021</v>
      </c>
      <c r="I126" s="67">
        <v>459.34247461811879</v>
      </c>
      <c r="J126" s="67">
        <v>520.75816380505887</v>
      </c>
      <c r="K126" s="67">
        <v>582.71912622469415</v>
      </c>
    </row>
    <row r="127" spans="3:13" outlineLevel="1" x14ac:dyDescent="0.35"/>
    <row r="128" spans="3:13" outlineLevel="1" x14ac:dyDescent="0.35">
      <c r="C128" s="55" t="s">
        <v>81</v>
      </c>
      <c r="D128" s="34"/>
      <c r="E128" s="34"/>
      <c r="F128" s="34"/>
    </row>
    <row r="129" spans="3:11" outlineLevel="1" x14ac:dyDescent="0.35">
      <c r="C129" s="34"/>
      <c r="D129" s="34"/>
      <c r="E129" s="34"/>
      <c r="F129" s="34"/>
    </row>
    <row r="130" spans="3:11" outlineLevel="1" x14ac:dyDescent="0.35">
      <c r="C130" s="56"/>
      <c r="D130" s="57"/>
      <c r="E130" s="58" t="s">
        <v>49</v>
      </c>
      <c r="F130" s="58"/>
      <c r="G130" s="59"/>
      <c r="H130" s="59"/>
      <c r="I130" s="59"/>
      <c r="J130" s="59"/>
      <c r="K130" s="59"/>
    </row>
    <row r="131" spans="3:11" outlineLevel="1" x14ac:dyDescent="0.35">
      <c r="C131" s="60"/>
      <c r="D131" s="61">
        <f>$E$37</f>
        <v>434.85233642262227</v>
      </c>
      <c r="E131" s="69">
        <f>E121</f>
        <v>4.0000000000000001E-3</v>
      </c>
      <c r="F131" s="69">
        <f t="shared" ref="F131:K131" si="74">F121</f>
        <v>5.0000000000000001E-3</v>
      </c>
      <c r="G131" s="69">
        <f t="shared" si="74"/>
        <v>6.0000000000000001E-3</v>
      </c>
      <c r="H131" s="69">
        <f t="shared" si="74"/>
        <v>7.0000000000000001E-3</v>
      </c>
      <c r="I131" s="69">
        <f t="shared" si="74"/>
        <v>8.0000000000000002E-3</v>
      </c>
      <c r="J131" s="69">
        <f t="shared" si="74"/>
        <v>9.0000000000000011E-3</v>
      </c>
      <c r="K131" s="69">
        <f t="shared" si="74"/>
        <v>1.0000000000000002E-2</v>
      </c>
    </row>
    <row r="132" spans="3:11" outlineLevel="1" x14ac:dyDescent="0.35">
      <c r="C132" s="84" t="s">
        <v>82</v>
      </c>
      <c r="D132" s="72">
        <v>5000</v>
      </c>
      <c r="E132" s="64">
        <f t="dataTable" ref="E132:K136" dt2D="1" dtr="1" r1="E19" r2="E52" ca="1"/>
        <v>159.28994371974801</v>
      </c>
      <c r="F132" s="65">
        <v>210.14993040762414</v>
      </c>
      <c r="G132" s="65">
        <v>267.74908923354502</v>
      </c>
      <c r="H132" s="65">
        <v>325.96396333207827</v>
      </c>
      <c r="I132" s="65">
        <v>384.7582534891975</v>
      </c>
      <c r="J132" s="65">
        <v>444.09780049453957</v>
      </c>
      <c r="K132" s="65">
        <v>503.95045897846177</v>
      </c>
    </row>
    <row r="133" spans="3:11" outlineLevel="1" x14ac:dyDescent="0.35">
      <c r="C133" s="85"/>
      <c r="D133" s="73">
        <f>D132+500</f>
        <v>5500</v>
      </c>
      <c r="E133" s="66">
        <v>179.42844125665118</v>
      </c>
      <c r="F133" s="67">
        <v>235.37442661331491</v>
      </c>
      <c r="G133" s="67">
        <v>298.73350132182793</v>
      </c>
      <c r="H133" s="67">
        <v>362.76986283021444</v>
      </c>
      <c r="I133" s="67">
        <v>427.44358200304561</v>
      </c>
      <c r="J133" s="67">
        <v>492.7170837089219</v>
      </c>
      <c r="K133" s="67">
        <v>558.55500804123631</v>
      </c>
    </row>
    <row r="134" spans="3:11" outlineLevel="1" x14ac:dyDescent="0.35">
      <c r="C134" s="85"/>
      <c r="D134" s="73">
        <f t="shared" ref="D134:D136" si="75">D133+500</f>
        <v>6000</v>
      </c>
      <c r="E134" s="66">
        <v>199.56693879355441</v>
      </c>
      <c r="F134" s="67">
        <v>260.59892281900579</v>
      </c>
      <c r="G134" s="67">
        <v>329.71791341011095</v>
      </c>
      <c r="H134" s="67">
        <v>399.57576232835083</v>
      </c>
      <c r="I134" s="67">
        <v>470.12891051689371</v>
      </c>
      <c r="J134" s="67">
        <v>541.33636692330435</v>
      </c>
      <c r="K134" s="67">
        <v>613.15955710401113</v>
      </c>
    </row>
    <row r="135" spans="3:11" outlineLevel="1" x14ac:dyDescent="0.35">
      <c r="C135" s="85"/>
      <c r="D135" s="73">
        <f t="shared" si="75"/>
        <v>6500</v>
      </c>
      <c r="E135" s="66">
        <v>219.7054363304575</v>
      </c>
      <c r="F135" s="67">
        <v>285.82341902469648</v>
      </c>
      <c r="G135" s="67">
        <v>360.70232549839363</v>
      </c>
      <c r="H135" s="67">
        <v>436.38166182648678</v>
      </c>
      <c r="I135" s="67">
        <v>512.81423903074165</v>
      </c>
      <c r="J135" s="67">
        <v>589.95565013768646</v>
      </c>
      <c r="K135" s="67">
        <v>667.69922670065409</v>
      </c>
    </row>
    <row r="136" spans="3:11" outlineLevel="1" x14ac:dyDescent="0.35">
      <c r="C136" s="86"/>
      <c r="D136" s="74">
        <f t="shared" si="75"/>
        <v>7000</v>
      </c>
      <c r="E136" s="66">
        <v>239.8439338673607</v>
      </c>
      <c r="F136" s="67">
        <v>311.04791523038728</v>
      </c>
      <c r="G136" s="67">
        <v>391.68673758667649</v>
      </c>
      <c r="H136" s="67">
        <v>473.187561324623</v>
      </c>
      <c r="I136" s="67">
        <v>555.48496282835163</v>
      </c>
      <c r="J136" s="67">
        <v>638.48369161440701</v>
      </c>
      <c r="K136" s="67">
        <v>722.20077647047435</v>
      </c>
    </row>
  </sheetData>
  <mergeCells count="5">
    <mergeCell ref="C92:C96"/>
    <mergeCell ref="C102:C106"/>
    <mergeCell ref="C112:C116"/>
    <mergeCell ref="C122:C126"/>
    <mergeCell ref="C132:C136"/>
  </mergeCells>
  <phoneticPr fontId="5" type="noConversion"/>
  <dataValidations count="2">
    <dataValidation type="list" allowBlank="1" showInputMessage="1" showErrorMessage="1" sqref="E26" xr:uid="{6C0C062E-9C84-40DE-9691-ACDC0B7A0855}">
      <formula1>$R$39:$X$39</formula1>
    </dataValidation>
    <dataValidation type="list" allowBlank="1" showInputMessage="1" showErrorMessage="1" sqref="E20" xr:uid="{3598F842-D424-434E-B4B8-C18C7CFC0B8B}">
      <formula1>$L$39:$P$39</formula1>
    </dataValidation>
  </dataValidations>
  <pageMargins left="0.7" right="0.7" top="0.75" bottom="0.75" header="0.3" footer="0.3"/>
  <pageSetup scale="48" orientation="portrait" horizontalDpi="1200" verticalDpi="1200" r:id="rId1"/>
  <rowBreaks count="2" manualBreakCount="2">
    <brk id="40" max="24" man="1"/>
    <brk id="85" max="24" man="1"/>
  </rowBreaks>
  <colBreaks count="1" manualBreakCount="1">
    <brk id="14" max="130" man="1"/>
  </colBreaks>
  <ignoredErrors>
    <ignoredError sqref="E71" emptyCellReferenc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Antios</vt:lpstr>
      <vt:lpstr>Allowed_NOL_Usage</vt:lpstr>
      <vt:lpstr>Annual_Price_Growth</vt:lpstr>
      <vt:lpstr>Discount_Rate</vt:lpstr>
      <vt:lpstr>Generics_Entry_Year</vt:lpstr>
      <vt:lpstr>Generics_Price_Drop</vt:lpstr>
      <vt:lpstr>Initial_Market_Share</vt:lpstr>
      <vt:lpstr>Initial_Year</vt:lpstr>
      <vt:lpstr>Margin_Sensitivity</vt:lpstr>
      <vt:lpstr>Market_Share_Declines</vt:lpstr>
      <vt:lpstr>Min_Market_Share</vt:lpstr>
      <vt:lpstr>Pct_Diagnosed</vt:lpstr>
      <vt:lpstr>Peak_Market_Share</vt:lpstr>
      <vt:lpstr>Peak_Year</vt:lpstr>
      <vt:lpstr>Antios!Print_Area</vt:lpstr>
      <vt:lpstr>Tax_Rate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 DeChesare</cp:lastModifiedBy>
  <dcterms:created xsi:type="dcterms:W3CDTF">2015-06-05T18:17:20Z</dcterms:created>
  <dcterms:modified xsi:type="dcterms:W3CDTF">2024-11-09T02:20:37Z</dcterms:modified>
</cp:coreProperties>
</file>