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bdech\BIWS Dropbox\Brian DeChesare\BIWS-All-Courses\100-Bonus-Case-Studies\101-Three-Statement-Modeling\101-15-Captitalized-RD\"/>
    </mc:Choice>
  </mc:AlternateContent>
  <xr:revisionPtr revIDLastSave="0" documentId="13_ncr:1_{04FC5F5C-B4F4-4F76-A8E0-4D489159AEAD}" xr6:coauthVersionLast="47" xr6:coauthVersionMax="47" xr10:uidLastSave="{00000000-0000-0000-0000-000000000000}"/>
  <bookViews>
    <workbookView xWindow="-103" yWindow="-103" windowWidth="33120" windowHeight="18000" tabRatio="590" xr2:uid="{00000000-000D-0000-FFFF-FFFF00000000}"/>
  </bookViews>
  <sheets>
    <sheet name="XRO" sheetId="14" r:id="rId1"/>
    <sheet name="Metrics" sheetId="15" r:id="rId2"/>
  </sheets>
  <definedNames>
    <definedName name="CIQWBGuid" hidden="1">"fedf60f8-2cd9-49ba-9fee-91fc372c3a0f"</definedName>
    <definedName name="Company_Name">XRO!$E$8</definedName>
    <definedName name="Diluted_Shares">XRO!$H$26</definedName>
    <definedName name="Discount_Rate">XRO!$E$22</definedName>
    <definedName name="FY_Pct">XRO!$E$15</definedName>
    <definedName name="IQ_DNTM" hidden="1">700000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MTD" hidden="1">800000</definedName>
    <definedName name="IQ_NAMES_REVISION_DATE_" hidden="1">"08/30/2015 13:55:30"</definedName>
    <definedName name="IQ_QTD" hidden="1">750000</definedName>
    <definedName name="IQ_TODAY" hidden="1">0</definedName>
    <definedName name="IQ_YTDMONTH" hidden="1">130000</definedName>
    <definedName name="Last_FY">XRO!$E$14</definedName>
    <definedName name="Months">XRO!$E$17</definedName>
    <definedName name="_xlnm.Print_Area" localSheetId="1">Metrics!$A$1:$G$110</definedName>
    <definedName name="_xlnm.Print_Area" localSheetId="0">XRO!$A$1:$T$146</definedName>
    <definedName name="Share_Price" localSheetId="1">Metrics!$E$7</definedName>
    <definedName name="Share_Price">XRO!$E$11</definedName>
    <definedName name="Shares">Metrics!$E$8</definedName>
    <definedName name="Tax_Rate" localSheetId="1">Metrics!$E$10</definedName>
    <definedName name="Tax_Rate">XRO!$E$19</definedName>
    <definedName name="Ticker">XRO!$E$9</definedName>
    <definedName name="Units">XRO!$E$16</definedName>
  </definedNames>
  <calcPr calcId="191029" calcMode="autoNoTable" iterate="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2" i="14" l="1"/>
  <c r="G82" i="14"/>
  <c r="H82" i="14"/>
  <c r="I82" i="14"/>
  <c r="J82" i="14"/>
  <c r="K82" i="14"/>
  <c r="L82" i="14"/>
  <c r="M82" i="14"/>
  <c r="N82" i="14"/>
  <c r="O82" i="14"/>
  <c r="P82" i="14"/>
  <c r="Q82" i="14"/>
  <c r="R82" i="14"/>
  <c r="S82" i="14"/>
  <c r="E82" i="14"/>
  <c r="F14" i="15" l="1"/>
  <c r="E16" i="15" l="1"/>
  <c r="E15" i="15"/>
  <c r="F16" i="15"/>
  <c r="F15" i="15"/>
  <c r="E90" i="15" l="1"/>
  <c r="E85" i="15"/>
  <c r="F90" i="15"/>
  <c r="E91" i="15"/>
  <c r="F91" i="15"/>
  <c r="E47" i="15"/>
  <c r="E105" i="15"/>
  <c r="F105" i="15"/>
  <c r="E99" i="15"/>
  <c r="F99" i="15"/>
  <c r="E86" i="15"/>
  <c r="F86" i="15"/>
  <c r="D86" i="15"/>
  <c r="F85" i="15"/>
  <c r="E75" i="15"/>
  <c r="F75" i="15"/>
  <c r="E69" i="15"/>
  <c r="F69" i="15"/>
  <c r="E61" i="15"/>
  <c r="F61" i="15"/>
  <c r="E48" i="15"/>
  <c r="F48" i="15"/>
  <c r="D48" i="15"/>
  <c r="F47" i="15"/>
  <c r="E12" i="15"/>
  <c r="F12" i="15"/>
  <c r="F77" i="15" l="1"/>
  <c r="F81" i="15" s="1"/>
  <c r="E77" i="15"/>
  <c r="E81" i="15" s="1"/>
  <c r="E32" i="15"/>
  <c r="F32" i="15"/>
  <c r="E41" i="15" l="1"/>
  <c r="E42" i="15" s="1"/>
  <c r="E37" i="15"/>
  <c r="E38" i="15" s="1"/>
  <c r="E39" i="15" s="1"/>
  <c r="F41" i="15"/>
  <c r="F42" i="15" s="1"/>
  <c r="F37" i="15"/>
  <c r="F38" i="15" s="1"/>
  <c r="F39" i="15" s="1"/>
  <c r="E88" i="15" l="1"/>
  <c r="E94" i="15" s="1"/>
  <c r="E107" i="15" s="1"/>
  <c r="E109" i="15" s="1"/>
  <c r="E51" i="15" s="1"/>
  <c r="F88" i="15"/>
  <c r="F94" i="15" s="1"/>
  <c r="F107" i="15" s="1"/>
  <c r="F109" i="15" s="1"/>
  <c r="F51" i="15" s="1"/>
  <c r="F13" i="15" s="1"/>
  <c r="F44" i="15"/>
  <c r="F45" i="15" s="1"/>
  <c r="E44" i="15"/>
  <c r="E45" i="15" s="1"/>
  <c r="I74" i="14"/>
  <c r="J74" i="14" s="1"/>
  <c r="K74" i="14" s="1"/>
  <c r="L74" i="14" s="1"/>
  <c r="M74" i="14" s="1"/>
  <c r="N74" i="14" s="1"/>
  <c r="O74" i="14" s="1"/>
  <c r="P74" i="14" s="1"/>
  <c r="Q74" i="14" s="1"/>
  <c r="R74" i="14" s="1"/>
  <c r="S74" i="14" s="1"/>
  <c r="H74" i="14"/>
  <c r="G74" i="14"/>
  <c r="F74" i="14"/>
  <c r="E74" i="14"/>
  <c r="I71" i="14"/>
  <c r="J71" i="14" s="1"/>
  <c r="K71" i="14" s="1"/>
  <c r="H71" i="14"/>
  <c r="G71" i="14"/>
  <c r="F71" i="14"/>
  <c r="E71" i="14"/>
  <c r="I98" i="14"/>
  <c r="H98" i="14"/>
  <c r="G98" i="14"/>
  <c r="F98" i="14"/>
  <c r="E98" i="14"/>
  <c r="I97" i="14"/>
  <c r="H97" i="14"/>
  <c r="G97" i="14"/>
  <c r="F97" i="14"/>
  <c r="E97" i="14"/>
  <c r="I94" i="14"/>
  <c r="H94" i="14"/>
  <c r="G94" i="14"/>
  <c r="F94" i="14"/>
  <c r="E94" i="14"/>
  <c r="J48" i="14"/>
  <c r="J49" i="14"/>
  <c r="J40" i="14"/>
  <c r="K40" i="14" s="1"/>
  <c r="L40" i="14" s="1"/>
  <c r="M40" i="14" s="1"/>
  <c r="N40" i="14" s="1"/>
  <c r="O40" i="14" s="1"/>
  <c r="P40" i="14" s="1"/>
  <c r="Q40" i="14" s="1"/>
  <c r="R40" i="14" s="1"/>
  <c r="S40" i="14" s="1"/>
  <c r="G62" i="14"/>
  <c r="G63" i="14" s="1"/>
  <c r="G66" i="14" s="1"/>
  <c r="F62" i="14"/>
  <c r="F63" i="14" s="1"/>
  <c r="F66" i="14" s="1"/>
  <c r="E62" i="14"/>
  <c r="E63" i="14" s="1"/>
  <c r="E66" i="14" s="1"/>
  <c r="F55" i="14"/>
  <c r="E53" i="14"/>
  <c r="E60" i="14" s="1"/>
  <c r="E49" i="14"/>
  <c r="H48" i="14"/>
  <c r="F48" i="14"/>
  <c r="I62" i="14"/>
  <c r="I63" i="14" s="1"/>
  <c r="I66" i="14" s="1"/>
  <c r="H62" i="14"/>
  <c r="H63" i="14" s="1"/>
  <c r="H66" i="14" s="1"/>
  <c r="I55" i="14"/>
  <c r="H55" i="14"/>
  <c r="I52" i="14"/>
  <c r="I53" i="14" s="1"/>
  <c r="I60" i="14" s="1"/>
  <c r="H52" i="14"/>
  <c r="H53" i="14" s="1"/>
  <c r="H60" i="14" s="1"/>
  <c r="G52" i="14"/>
  <c r="G53" i="14" s="1"/>
  <c r="G60" i="14" s="1"/>
  <c r="F52" i="14"/>
  <c r="F53" i="14" s="1"/>
  <c r="F60" i="14" s="1"/>
  <c r="I48" i="14"/>
  <c r="G48" i="14"/>
  <c r="I44" i="14"/>
  <c r="H44" i="14"/>
  <c r="G44" i="14"/>
  <c r="F44" i="14"/>
  <c r="I41" i="14"/>
  <c r="H41" i="14"/>
  <c r="G41" i="14"/>
  <c r="F41" i="14"/>
  <c r="D142" i="14"/>
  <c r="D135" i="14"/>
  <c r="D133" i="14"/>
  <c r="D132" i="14" s="1"/>
  <c r="F139" i="14"/>
  <c r="G139" i="14" s="1"/>
  <c r="H139" i="14" s="1"/>
  <c r="I139" i="14" s="1"/>
  <c r="F131" i="14"/>
  <c r="G131" i="14" s="1"/>
  <c r="H131" i="14" s="1"/>
  <c r="I131" i="14" s="1"/>
  <c r="N29" i="14"/>
  <c r="N28" i="14"/>
  <c r="N27" i="14"/>
  <c r="S29" i="14"/>
  <c r="S28" i="14"/>
  <c r="S27" i="14"/>
  <c r="E53" i="15" l="1"/>
  <c r="E63" i="15" s="1"/>
  <c r="E83" i="15" s="1"/>
  <c r="E13" i="15"/>
  <c r="E17" i="15"/>
  <c r="F53" i="15"/>
  <c r="F17" i="15"/>
  <c r="L71" i="14"/>
  <c r="G55" i="14"/>
  <c r="H49" i="14"/>
  <c r="H50" i="14" s="1"/>
  <c r="G49" i="14"/>
  <c r="G50" i="14" s="1"/>
  <c r="F49" i="14"/>
  <c r="F50" i="14" s="1"/>
  <c r="I49" i="14"/>
  <c r="I50" i="14" s="1"/>
  <c r="J43" i="14"/>
  <c r="J117" i="14" s="1"/>
  <c r="J60" i="14"/>
  <c r="K60" i="14" s="1"/>
  <c r="J63" i="14"/>
  <c r="J66" i="14" s="1"/>
  <c r="J58" i="14" s="1"/>
  <c r="J98" i="14" s="1"/>
  <c r="D140" i="14"/>
  <c r="D136" i="14"/>
  <c r="D141" i="14"/>
  <c r="D143" i="14"/>
  <c r="K87" i="14"/>
  <c r="L87" i="14" s="1"/>
  <c r="M87" i="14" s="1"/>
  <c r="N87" i="14" s="1"/>
  <c r="O87" i="14" s="1"/>
  <c r="P87" i="14" s="1"/>
  <c r="Q87" i="14" s="1"/>
  <c r="R87" i="14" s="1"/>
  <c r="S87" i="14" s="1"/>
  <c r="K79" i="14"/>
  <c r="L79" i="14" s="1"/>
  <c r="M79" i="14" s="1"/>
  <c r="N79" i="14" s="1"/>
  <c r="O79" i="14" s="1"/>
  <c r="P79" i="14" s="1"/>
  <c r="Q79" i="14" s="1"/>
  <c r="R79" i="14" s="1"/>
  <c r="S79" i="14" s="1"/>
  <c r="K78" i="14"/>
  <c r="L78" i="14" s="1"/>
  <c r="M78" i="14" s="1"/>
  <c r="N78" i="14" s="1"/>
  <c r="O78" i="14" s="1"/>
  <c r="P78" i="14" s="1"/>
  <c r="Q78" i="14" s="1"/>
  <c r="R78" i="14" s="1"/>
  <c r="S78" i="14" s="1"/>
  <c r="E19" i="15" l="1"/>
  <c r="E20" i="15"/>
  <c r="F20" i="15"/>
  <c r="F19" i="15"/>
  <c r="F63" i="15"/>
  <c r="F83" i="15" s="1"/>
  <c r="M71" i="14"/>
  <c r="J44" i="14"/>
  <c r="K48" i="14"/>
  <c r="K49" i="14"/>
  <c r="J52" i="14"/>
  <c r="J53" i="14" s="1"/>
  <c r="J54" i="14" s="1"/>
  <c r="J94" i="14" s="1"/>
  <c r="L60" i="14"/>
  <c r="K63" i="14"/>
  <c r="K66" i="14" s="1"/>
  <c r="D144" i="14"/>
  <c r="N71" i="14" l="1"/>
  <c r="K58" i="14"/>
  <c r="K98" i="14" s="1"/>
  <c r="K43" i="14"/>
  <c r="J55" i="14"/>
  <c r="J57" i="14"/>
  <c r="J97" i="14" s="1"/>
  <c r="L63" i="14"/>
  <c r="L66" i="14" s="1"/>
  <c r="M60" i="14"/>
  <c r="K99" i="14" l="1"/>
  <c r="K117" i="14"/>
  <c r="O71" i="14"/>
  <c r="L48" i="14"/>
  <c r="L49" i="14"/>
  <c r="L58" i="14" s="1"/>
  <c r="L98" i="14" s="1"/>
  <c r="K44" i="14"/>
  <c r="K52" i="14"/>
  <c r="K53" i="14" s="1"/>
  <c r="K54" i="14" s="1"/>
  <c r="N60" i="14"/>
  <c r="M63" i="14"/>
  <c r="M66" i="14" s="1"/>
  <c r="P71" i="14" l="1"/>
  <c r="K55" i="14"/>
  <c r="K94" i="14"/>
  <c r="K57" i="14"/>
  <c r="K97" i="14" s="1"/>
  <c r="L43" i="14"/>
  <c r="O60" i="14"/>
  <c r="N63" i="14"/>
  <c r="N66" i="14" s="1"/>
  <c r="L117" i="14" l="1"/>
  <c r="L99" i="14"/>
  <c r="Q71" i="14"/>
  <c r="M48" i="14"/>
  <c r="M49" i="14"/>
  <c r="M58" i="14" s="1"/>
  <c r="M98" i="14" s="1"/>
  <c r="L44" i="14"/>
  <c r="L52" i="14"/>
  <c r="L53" i="14" s="1"/>
  <c r="L54" i="14" s="1"/>
  <c r="L94" i="14" s="1"/>
  <c r="O63" i="14"/>
  <c r="O66" i="14" s="1"/>
  <c r="P60" i="14"/>
  <c r="R71" i="14" l="1"/>
  <c r="M43" i="14"/>
  <c r="L57" i="14"/>
  <c r="L97" i="14" s="1"/>
  <c r="L55" i="14"/>
  <c r="Q60" i="14"/>
  <c r="P63" i="14"/>
  <c r="P66" i="14" s="1"/>
  <c r="M117" i="14" l="1"/>
  <c r="M99" i="14"/>
  <c r="S71" i="14"/>
  <c r="N48" i="14"/>
  <c r="M44" i="14"/>
  <c r="N49" i="14"/>
  <c r="M52" i="14"/>
  <c r="M53" i="14" s="1"/>
  <c r="M54" i="14" s="1"/>
  <c r="Q63" i="14"/>
  <c r="Q66" i="14" s="1"/>
  <c r="R60" i="14"/>
  <c r="M57" i="14" l="1"/>
  <c r="M97" i="14" s="1"/>
  <c r="M94" i="14"/>
  <c r="N43" i="14"/>
  <c r="N58" i="14"/>
  <c r="N98" i="14" s="1"/>
  <c r="M55" i="14"/>
  <c r="R63" i="14"/>
  <c r="R66" i="14" s="1"/>
  <c r="S60" i="14"/>
  <c r="N117" i="14" l="1"/>
  <c r="N99" i="14"/>
  <c r="N52" i="14"/>
  <c r="N53" i="14" s="1"/>
  <c r="N54" i="14" s="1"/>
  <c r="N94" i="14" s="1"/>
  <c r="N44" i="14"/>
  <c r="O49" i="14"/>
  <c r="O58" i="14" s="1"/>
  <c r="O98" i="14" s="1"/>
  <c r="O48" i="14"/>
  <c r="S63" i="14"/>
  <c r="S66" i="14" s="1"/>
  <c r="O43" i="14" l="1"/>
  <c r="N55" i="14"/>
  <c r="N57" i="14"/>
  <c r="N97" i="14" s="1"/>
  <c r="J91" i="14"/>
  <c r="E91" i="14"/>
  <c r="J68" i="14"/>
  <c r="E68" i="14"/>
  <c r="E31" i="14"/>
  <c r="E27" i="14"/>
  <c r="E26" i="14"/>
  <c r="E25" i="14"/>
  <c r="E12" i="14"/>
  <c r="I85" i="14"/>
  <c r="I39" i="14"/>
  <c r="O117" i="14" l="1"/>
  <c r="O99" i="14"/>
  <c r="P49" i="14"/>
  <c r="P58" i="14" s="1"/>
  <c r="P98" i="14" s="1"/>
  <c r="P48" i="14"/>
  <c r="P43" i="14" s="1"/>
  <c r="O52" i="14"/>
  <c r="O53" i="14" s="1"/>
  <c r="O54" i="14" s="1"/>
  <c r="O94" i="14" s="1"/>
  <c r="O44" i="14"/>
  <c r="I92" i="14"/>
  <c r="I69" i="14"/>
  <c r="N26" i="14"/>
  <c r="S26" i="14"/>
  <c r="I103" i="14"/>
  <c r="N24" i="14"/>
  <c r="S24" i="14"/>
  <c r="S33" i="14"/>
  <c r="N33" i="14"/>
  <c r="N25" i="14"/>
  <c r="S25" i="14"/>
  <c r="I77" i="14"/>
  <c r="I78" i="14"/>
  <c r="I79" i="14"/>
  <c r="I81" i="14"/>
  <c r="I87" i="14"/>
  <c r="H39" i="14"/>
  <c r="J39" i="14"/>
  <c r="P117" i="14" l="1"/>
  <c r="P99" i="14"/>
  <c r="Q48" i="14"/>
  <c r="P44" i="14"/>
  <c r="P52" i="14"/>
  <c r="P53" i="14" s="1"/>
  <c r="P54" i="14" s="1"/>
  <c r="Q49" i="14"/>
  <c r="Q58" i="14" s="1"/>
  <c r="Q98" i="14" s="1"/>
  <c r="O55" i="14"/>
  <c r="O57" i="14"/>
  <c r="O97" i="14" s="1"/>
  <c r="H69" i="14"/>
  <c r="H92" i="14"/>
  <c r="K39" i="14"/>
  <c r="J69" i="14"/>
  <c r="J92" i="14"/>
  <c r="I104" i="14"/>
  <c r="I123" i="14"/>
  <c r="I107" i="14"/>
  <c r="I109" i="14" s="1"/>
  <c r="P57" i="14" l="1"/>
  <c r="P97" i="14" s="1"/>
  <c r="P94" i="14"/>
  <c r="P55" i="14"/>
  <c r="Q43" i="14"/>
  <c r="I125" i="14"/>
  <c r="I120" i="14"/>
  <c r="L39" i="14"/>
  <c r="K69" i="14"/>
  <c r="K92" i="14"/>
  <c r="B92" i="14"/>
  <c r="Q117" i="14" l="1"/>
  <c r="Q99" i="14"/>
  <c r="R49" i="14"/>
  <c r="R58" i="14" s="1"/>
  <c r="R98" i="14" s="1"/>
  <c r="Q52" i="14"/>
  <c r="Q53" i="14" s="1"/>
  <c r="Q54" i="14" s="1"/>
  <c r="Q94" i="14" s="1"/>
  <c r="R48" i="14"/>
  <c r="Q44" i="14"/>
  <c r="M39" i="14"/>
  <c r="L69" i="14"/>
  <c r="L92" i="14"/>
  <c r="B6" i="14"/>
  <c r="B2" i="14"/>
  <c r="R43" i="14" l="1"/>
  <c r="Q57" i="14"/>
  <c r="Q97" i="14" s="1"/>
  <c r="Q55" i="14"/>
  <c r="N39" i="14"/>
  <c r="M69" i="14"/>
  <c r="M92" i="14"/>
  <c r="R117" i="14" l="1"/>
  <c r="R99" i="14"/>
  <c r="S49" i="14"/>
  <c r="S58" i="14" s="1"/>
  <c r="S98" i="14" s="1"/>
  <c r="R44" i="14"/>
  <c r="S48" i="14"/>
  <c r="R52" i="14"/>
  <c r="R53" i="14" s="1"/>
  <c r="R54" i="14" s="1"/>
  <c r="O39" i="14"/>
  <c r="N69" i="14"/>
  <c r="N92" i="14"/>
  <c r="S43" i="14" l="1"/>
  <c r="R57" i="14"/>
  <c r="R97" i="14" s="1"/>
  <c r="R94" i="14"/>
  <c r="R55" i="14"/>
  <c r="P39" i="14"/>
  <c r="O69" i="14"/>
  <c r="O92" i="14"/>
  <c r="P36" i="14"/>
  <c r="P35" i="14"/>
  <c r="P33" i="14"/>
  <c r="P31" i="14"/>
  <c r="P30" i="14"/>
  <c r="P29" i="14"/>
  <c r="P28" i="14"/>
  <c r="P27" i="14"/>
  <c r="P26" i="14"/>
  <c r="P25" i="14"/>
  <c r="P24" i="14"/>
  <c r="S117" i="14" l="1"/>
  <c r="S99" i="14"/>
  <c r="S44" i="14"/>
  <c r="S52" i="14"/>
  <c r="S53" i="14" s="1"/>
  <c r="S54" i="14" s="1"/>
  <c r="S55" i="14" s="1"/>
  <c r="Q39" i="14"/>
  <c r="P69" i="14"/>
  <c r="P92" i="14"/>
  <c r="E24" i="14"/>
  <c r="S57" i="14" l="1"/>
  <c r="S97" i="14" s="1"/>
  <c r="S94" i="14"/>
  <c r="R39" i="14"/>
  <c r="Q69" i="14"/>
  <c r="Q92" i="14"/>
  <c r="E32" i="14"/>
  <c r="E75" i="14" l="1"/>
  <c r="S39" i="14"/>
  <c r="R69" i="14"/>
  <c r="R92" i="14"/>
  <c r="I72" i="14"/>
  <c r="I75" i="14"/>
  <c r="V52" i="14" l="1"/>
  <c r="V43" i="14"/>
  <c r="V40" i="14"/>
  <c r="V54" i="14"/>
  <c r="E72" i="14"/>
  <c r="S69" i="14"/>
  <c r="S92" i="14"/>
  <c r="E85" i="14"/>
  <c r="F85" i="14"/>
  <c r="G85" i="14"/>
  <c r="H85" i="14"/>
  <c r="J85" i="14" l="1"/>
  <c r="K85" i="14" s="1"/>
  <c r="L85" i="14" s="1"/>
  <c r="M85" i="14" s="1"/>
  <c r="N85" i="14" s="1"/>
  <c r="O85" i="14" s="1"/>
  <c r="P85" i="14" s="1"/>
  <c r="Q85" i="14" s="1"/>
  <c r="R85" i="14" s="1"/>
  <c r="S85" i="14" s="1"/>
  <c r="G75" i="14"/>
  <c r="G72" i="14"/>
  <c r="F75" i="14"/>
  <c r="H75" i="14"/>
  <c r="F72" i="14"/>
  <c r="H72" i="14"/>
  <c r="D92" i="14"/>
  <c r="D69" i="14"/>
  <c r="F103" i="14" l="1"/>
  <c r="F107" i="14" s="1"/>
  <c r="F109" i="14" s="1"/>
  <c r="F120" i="14" s="1"/>
  <c r="G103" i="14"/>
  <c r="G104" i="14" s="1"/>
  <c r="E103" i="14"/>
  <c r="H103" i="14"/>
  <c r="I89" i="14"/>
  <c r="I95" i="14"/>
  <c r="I126" i="14" s="1"/>
  <c r="I86" i="14"/>
  <c r="H95" i="14"/>
  <c r="G79" i="14"/>
  <c r="G95" i="14"/>
  <c r="F95" i="14"/>
  <c r="H79" i="14"/>
  <c r="F81" i="14"/>
  <c r="F79" i="14"/>
  <c r="E79" i="14"/>
  <c r="G89" i="14"/>
  <c r="G81" i="14"/>
  <c r="G86" i="14"/>
  <c r="G87" i="14"/>
  <c r="F89" i="14"/>
  <c r="F87" i="14"/>
  <c r="E81" i="14"/>
  <c r="E87" i="14"/>
  <c r="F86" i="14"/>
  <c r="H89" i="14"/>
  <c r="H81" i="14"/>
  <c r="H87" i="14"/>
  <c r="H86" i="14"/>
  <c r="G78" i="14"/>
  <c r="G77" i="14"/>
  <c r="E77" i="14"/>
  <c r="E78" i="14"/>
  <c r="H77" i="14"/>
  <c r="H78" i="14"/>
  <c r="F78" i="14"/>
  <c r="F77" i="14"/>
  <c r="G123" i="14" l="1"/>
  <c r="G107" i="14"/>
  <c r="G109" i="14" s="1"/>
  <c r="G120" i="14" s="1"/>
  <c r="G121" i="14" s="1"/>
  <c r="F123" i="14"/>
  <c r="F104" i="14"/>
  <c r="G105" i="14"/>
  <c r="J86" i="14"/>
  <c r="K86" i="14" s="1"/>
  <c r="L86" i="14" s="1"/>
  <c r="M86" i="14" s="1"/>
  <c r="N86" i="14" s="1"/>
  <c r="O86" i="14" s="1"/>
  <c r="P86" i="14" s="1"/>
  <c r="Q86" i="14" s="1"/>
  <c r="R86" i="14" s="1"/>
  <c r="S86" i="14" s="1"/>
  <c r="H104" i="14"/>
  <c r="H105" i="14"/>
  <c r="H123" i="14"/>
  <c r="I124" i="14" s="1"/>
  <c r="H107" i="14"/>
  <c r="H109" i="14" s="1"/>
  <c r="H120" i="14" s="1"/>
  <c r="I105" i="14"/>
  <c r="E123" i="14"/>
  <c r="E107" i="14"/>
  <c r="E109" i="14" s="1"/>
  <c r="E104" i="14"/>
  <c r="F105" i="14"/>
  <c r="G39" i="14"/>
  <c r="H121" i="14" l="1"/>
  <c r="I121" i="14"/>
  <c r="F39" i="14"/>
  <c r="G92" i="14"/>
  <c r="G69" i="14"/>
  <c r="E120" i="14"/>
  <c r="F121" i="14" l="1"/>
  <c r="J116" i="14"/>
  <c r="J115" i="14"/>
  <c r="J95" i="14"/>
  <c r="J101" i="14"/>
  <c r="J100" i="14"/>
  <c r="J118" i="14"/>
  <c r="J112" i="14"/>
  <c r="J114" i="14"/>
  <c r="E39" i="14"/>
  <c r="F92" i="14"/>
  <c r="F69" i="14"/>
  <c r="U120" i="14" l="1"/>
  <c r="U54" i="14"/>
  <c r="U43" i="14"/>
  <c r="U40" i="14"/>
  <c r="U52" i="14"/>
  <c r="K116" i="14"/>
  <c r="K101" i="14"/>
  <c r="K112" i="14"/>
  <c r="K114" i="14"/>
  <c r="K95" i="14"/>
  <c r="K115" i="14"/>
  <c r="K118" i="14"/>
  <c r="K100" i="14"/>
  <c r="E69" i="14"/>
  <c r="E92" i="14"/>
  <c r="U74" i="14"/>
  <c r="U71" i="14"/>
  <c r="U94" i="14"/>
  <c r="U103" i="14"/>
  <c r="U123" i="14"/>
  <c r="U109" i="14"/>
  <c r="L95" i="14" l="1"/>
  <c r="L118" i="14"/>
  <c r="L115" i="14"/>
  <c r="L100" i="14"/>
  <c r="L101" i="14"/>
  <c r="L112" i="14"/>
  <c r="L114" i="14"/>
  <c r="L116" i="14"/>
  <c r="M118" i="14" l="1"/>
  <c r="M101" i="14"/>
  <c r="M112" i="14"/>
  <c r="M114" i="14"/>
  <c r="M95" i="14"/>
  <c r="M116" i="14"/>
  <c r="M100" i="14"/>
  <c r="M115" i="14"/>
  <c r="N95" i="14" l="1"/>
  <c r="N114" i="14"/>
  <c r="N116" i="14"/>
  <c r="N100" i="14"/>
  <c r="N118" i="14"/>
  <c r="N112" i="14"/>
  <c r="N115" i="14"/>
  <c r="N101" i="14"/>
  <c r="O115" i="14" l="1"/>
  <c r="O95" i="14"/>
  <c r="O114" i="14"/>
  <c r="O118" i="14"/>
  <c r="O116" i="14"/>
  <c r="O101" i="14"/>
  <c r="O100" i="14"/>
  <c r="O112" i="14"/>
  <c r="P95" i="14" l="1"/>
  <c r="P112" i="14"/>
  <c r="P115" i="14"/>
  <c r="P100" i="14"/>
  <c r="P114" i="14"/>
  <c r="P118" i="14"/>
  <c r="P116" i="14"/>
  <c r="P101" i="14"/>
  <c r="Q95" i="14" l="1"/>
  <c r="Q115" i="14"/>
  <c r="Q100" i="14"/>
  <c r="Q114" i="14"/>
  <c r="Q116" i="14"/>
  <c r="Q118" i="14"/>
  <c r="Q112" i="14"/>
  <c r="Q101" i="14"/>
  <c r="S95" i="14" l="1"/>
  <c r="S112" i="14"/>
  <c r="S115" i="14"/>
  <c r="S100" i="14"/>
  <c r="S101" i="14"/>
  <c r="S114" i="14"/>
  <c r="V94" i="14"/>
  <c r="S118" i="14"/>
  <c r="S116" i="14"/>
  <c r="R95" i="14"/>
  <c r="R115" i="14"/>
  <c r="R100" i="14"/>
  <c r="R101" i="14"/>
  <c r="R112" i="14"/>
  <c r="R118" i="14"/>
  <c r="R116" i="14"/>
  <c r="R114" i="14"/>
  <c r="H125" i="14" l="1"/>
  <c r="H126" i="14" s="1"/>
  <c r="E124" i="14"/>
  <c r="E125" i="14"/>
  <c r="E126" i="14" s="1"/>
  <c r="H124" i="14" l="1"/>
  <c r="G125" i="14"/>
  <c r="G126" i="14" s="1"/>
  <c r="F124" i="14"/>
  <c r="F125" i="14"/>
  <c r="F126" i="14" s="1"/>
  <c r="G124" i="14"/>
  <c r="J99" i="14" l="1"/>
  <c r="J103" i="14" s="1"/>
  <c r="J107" i="14" l="1"/>
  <c r="J113" i="14" s="1"/>
  <c r="J104" i="14"/>
  <c r="J105" i="14"/>
  <c r="J123" i="14"/>
  <c r="J109" i="14" l="1"/>
  <c r="J125" i="14"/>
  <c r="J126" i="14" s="1"/>
  <c r="J124" i="14"/>
  <c r="V71" i="14"/>
  <c r="K103" i="14"/>
  <c r="L103" i="14"/>
  <c r="M103" i="14"/>
  <c r="M105" i="14" s="1"/>
  <c r="N103" i="14"/>
  <c r="O103" i="14"/>
  <c r="P103" i="14"/>
  <c r="P104" i="14" s="1"/>
  <c r="Q103" i="14"/>
  <c r="Q123" i="14" s="1"/>
  <c r="R103" i="14"/>
  <c r="R104" i="14" s="1"/>
  <c r="S103" i="14"/>
  <c r="S104" i="14" s="1"/>
  <c r="M104" i="14"/>
  <c r="N104" i="14"/>
  <c r="O104" i="14"/>
  <c r="M107" i="14"/>
  <c r="M113" i="14" s="1"/>
  <c r="N107" i="14"/>
  <c r="N113" i="14" s="1"/>
  <c r="O107" i="14"/>
  <c r="O113" i="14" s="1"/>
  <c r="P107" i="14"/>
  <c r="P113" i="14" s="1"/>
  <c r="Q107" i="14"/>
  <c r="Q113" i="14" s="1"/>
  <c r="V103" i="14" l="1"/>
  <c r="N109" i="14"/>
  <c r="O105" i="14"/>
  <c r="S107" i="14"/>
  <c r="S113" i="14" s="1"/>
  <c r="R107" i="14"/>
  <c r="R113" i="14" s="1"/>
  <c r="Q125" i="14"/>
  <c r="Q126" i="14" s="1"/>
  <c r="L107" i="14"/>
  <c r="L113" i="14" s="1"/>
  <c r="L123" i="14"/>
  <c r="L104" i="14"/>
  <c r="L105" i="14"/>
  <c r="K107" i="14"/>
  <c r="K113" i="14" s="1"/>
  <c r="K104" i="14"/>
  <c r="K105" i="14"/>
  <c r="K123" i="14"/>
  <c r="O123" i="14"/>
  <c r="R123" i="14"/>
  <c r="R109" i="14"/>
  <c r="Q109" i="14"/>
  <c r="P123" i="14"/>
  <c r="R105" i="14"/>
  <c r="Q105" i="14"/>
  <c r="N123" i="14"/>
  <c r="P105" i="14"/>
  <c r="N105" i="14"/>
  <c r="P109" i="14"/>
  <c r="O109" i="14"/>
  <c r="M109" i="14"/>
  <c r="S105" i="14"/>
  <c r="M123" i="14"/>
  <c r="S109" i="14"/>
  <c r="Q104" i="14"/>
  <c r="S123" i="14"/>
  <c r="M125" i="14" l="1"/>
  <c r="M126" i="14" s="1"/>
  <c r="M124" i="14"/>
  <c r="L109" i="14"/>
  <c r="P125" i="14"/>
  <c r="P126" i="14" s="1"/>
  <c r="P124" i="14"/>
  <c r="K109" i="14"/>
  <c r="L125" i="14"/>
  <c r="L126" i="14" s="1"/>
  <c r="L124" i="14"/>
  <c r="Q124" i="14"/>
  <c r="N125" i="14"/>
  <c r="N126" i="14" s="1"/>
  <c r="N124" i="14"/>
  <c r="R124" i="14"/>
  <c r="R125" i="14"/>
  <c r="R126" i="14" s="1"/>
  <c r="O124" i="14"/>
  <c r="O125" i="14"/>
  <c r="O126" i="14" s="1"/>
  <c r="K125" i="14"/>
  <c r="K126" i="14" s="1"/>
  <c r="K124" i="14"/>
  <c r="S125" i="14"/>
  <c r="S126" i="14" s="1"/>
  <c r="N15" i="14"/>
  <c r="S124" i="14"/>
  <c r="V123" i="14"/>
  <c r="V109" i="14"/>
  <c r="N18" i="14" l="1"/>
  <c r="V74" i="14"/>
  <c r="P120" i="14"/>
  <c r="R120" i="14"/>
  <c r="S120" i="14"/>
  <c r="J120" i="14"/>
  <c r="K120" i="14"/>
  <c r="L120" i="14"/>
  <c r="L121" i="14" s="1"/>
  <c r="M120" i="14"/>
  <c r="M121" i="14" s="1"/>
  <c r="N120" i="14"/>
  <c r="O120" i="14"/>
  <c r="O121" i="14" s="1"/>
  <c r="N121" i="14" l="1"/>
  <c r="P121" i="14"/>
  <c r="K121" i="14"/>
  <c r="V120" i="14"/>
  <c r="S15" i="14"/>
  <c r="N16" i="14"/>
  <c r="S121" i="14"/>
  <c r="J121" i="14"/>
  <c r="Q120" i="14"/>
  <c r="Q121" i="14" s="1"/>
  <c r="S19" i="14" l="1"/>
  <c r="R121" i="14"/>
  <c r="S16" i="14"/>
  <c r="S18" i="14"/>
  <c r="N19" i="14"/>
  <c r="N20" i="14" s="1"/>
  <c r="N31" i="14" l="1"/>
  <c r="N35" i="14" s="1"/>
  <c r="N22" i="14"/>
  <c r="S20" i="14"/>
  <c r="S31" i="14" s="1"/>
  <c r="S35" i="14" s="1"/>
  <c r="S22" i="14" l="1"/>
  <c r="D131" i="14"/>
  <c r="S36" i="14"/>
  <c r="D139" i="14"/>
  <c r="N36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BIWS</author>
  </authors>
  <commentList>
    <comment ref="E11" authorId="0" shapeId="0" xr:uid="{9EB4F8BA-8D30-4DCD-AE6E-AEF795A4E9AE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Converted from AUD to NZD based on FX Rate on valuation date.</t>
        </r>
      </text>
    </comment>
    <comment ref="E12" authorId="0" shapeId="0" xr:uid="{50D76EFA-A2B6-4A34-998F-AE402FB4CB45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Excluding shares from convertible; counting as traditional Debt.</t>
        </r>
      </text>
    </comment>
    <comment ref="E19" authorId="0" shapeId="0" xr:uid="{261D33AD-64CB-4B5F-8A9A-FB2260512385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Based on past few years; presentation on pg. 40 states the organic effective tax rate was more like ~33% in the last FY.</t>
        </r>
      </text>
    </comment>
    <comment ref="E27" authorId="0" shapeId="0" xr:uid="{7A1CC485-4F03-4164-ACD9-7A7816DEB8EF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Counting the face value of the Syndicated Facilities and Convertible Notes; no market values, and we're not assuming a conversion into shares.</t>
        </r>
      </text>
    </comment>
    <comment ref="N30" authorId="0" shapeId="0" xr:uid="{D493779A-CF1C-4ED7-89AB-51BE5152065A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Zero'd out because full Lease Expense is deducted in UFCF.</t>
        </r>
      </text>
    </comment>
    <comment ref="S30" authorId="0" shapeId="0" xr:uid="{C7A49CC8-1D1F-433F-8A08-3FF03F460D65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Zero'd out because full Lease Expense is deducted in UFCF.</t>
        </r>
      </text>
    </comment>
    <comment ref="E57" authorId="0" shapeId="0" xr:uid="{28CF07C8-B625-4B36-8A1C-E935A62F2D6A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Estimates based on normal Cost of Revenue vs. S&amp;M split.</t>
        </r>
      </text>
    </comment>
    <comment ref="F57" authorId="0" shapeId="0" xr:uid="{BB723595-A95B-4735-91E4-957825D80E18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Estimates based on normal Cost of Revenue vs. S&amp;M split.</t>
        </r>
      </text>
    </comment>
    <comment ref="E58" authorId="0" shapeId="0" xr:uid="{DFFACCD1-E455-467A-87B1-62F364F88C76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Estimates based on normal Cost of Revenue vs. S&amp;M split.</t>
        </r>
      </text>
    </comment>
    <comment ref="F58" authorId="0" shapeId="0" xr:uid="{963F2576-60DD-45EC-8983-93501E9BB60D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Estimates based on normal Cost of Revenue vs. S&amp;M split.</t>
        </r>
      </text>
    </comment>
  </commentList>
</comments>
</file>

<file path=xl/sharedStrings.xml><?xml version="1.0" encoding="utf-8"?>
<sst xmlns="http://schemas.openxmlformats.org/spreadsheetml/2006/main" count="365" uniqueCount="192">
  <si>
    <t>Company Name:</t>
  </si>
  <si>
    <t>Units:</t>
  </si>
  <si>
    <t>%</t>
  </si>
  <si>
    <t>$ M</t>
  </si>
  <si>
    <t>Total Revenue:</t>
  </si>
  <si>
    <t>Conversion Units:</t>
  </si>
  <si>
    <t>Effective Tax Rate:</t>
  </si>
  <si>
    <t>#</t>
  </si>
  <si>
    <t>Name</t>
  </si>
  <si>
    <t>Date</t>
  </si>
  <si>
    <t>Historical:</t>
  </si>
  <si>
    <t>Projected:</t>
  </si>
  <si>
    <t>(-) Cost of Revenue:</t>
  </si>
  <si>
    <t>(-) Sales &amp; Marketing:</t>
  </si>
  <si>
    <t>(-) General &amp; Administrative:</t>
  </si>
  <si>
    <t>Gross Margin:</t>
  </si>
  <si>
    <t>EBITDA:</t>
  </si>
  <si>
    <t>"Rule of 40":</t>
  </si>
  <si>
    <t>Growth Rate:</t>
  </si>
  <si>
    <t>(+) Depreciation &amp; Amortization:</t>
  </si>
  <si>
    <t>Revenue:</t>
  </si>
  <si>
    <t>Cost of Revenue:</t>
  </si>
  <si>
    <t>x</t>
  </si>
  <si>
    <t>(+) Cash &amp; Cash-Equivalents:</t>
  </si>
  <si>
    <t>(-) Total Debt:</t>
  </si>
  <si>
    <t>(-) Noncontrolling Interests:</t>
  </si>
  <si>
    <t>(-) Preferred Stock:</t>
  </si>
  <si>
    <t>Operating Margin:</t>
  </si>
  <si>
    <t>(+) Equity Investments &amp; Non-Core Assets:</t>
  </si>
  <si>
    <t>Valuation Date:</t>
  </si>
  <si>
    <t>Terminal Value - Multiples Method:</t>
  </si>
  <si>
    <t>Terminal Value - Perpetuity Growth Method:</t>
  </si>
  <si>
    <t>Expected Long-Term GDP Growth:</t>
  </si>
  <si>
    <t>Baseline Terminal FCF Growth Rate:</t>
  </si>
  <si>
    <t>Baseline Terminal Value:</t>
  </si>
  <si>
    <t>Implied Terminal FCF Growth Rate:</t>
  </si>
  <si>
    <t>(+) PV of Terminal Value:</t>
  </si>
  <si>
    <t>(+) PV of UFCFs:</t>
  </si>
  <si>
    <t>Implied Enterprise Value:</t>
  </si>
  <si>
    <t>% of Implied TEV from Terminal Value:</t>
  </si>
  <si>
    <t>Implied Equity Value:</t>
  </si>
  <si>
    <t>Change in WC % Change in Revenue:</t>
  </si>
  <si>
    <t>CapEx % Revenue:</t>
  </si>
  <si>
    <t>Net Operating Profit After Taxes (NOPAT):</t>
  </si>
  <si>
    <t>(+/-) Net Change in Working Capital:</t>
  </si>
  <si>
    <t>(-) Capital Expenditures:</t>
  </si>
  <si>
    <t>Unlevered Free Cash Flow:</t>
  </si>
  <si>
    <t>Sensitivity Analyses:</t>
  </si>
  <si>
    <t>Margin:</t>
  </si>
  <si>
    <t>Implied Terminal EBITDA Multiple:</t>
  </si>
  <si>
    <t>Total # of Subscribers:</t>
  </si>
  <si>
    <t>Net Additions:</t>
  </si>
  <si>
    <t>Estimated # of Lost Subscribers:</t>
  </si>
  <si>
    <t>Estimated # of New Subscribers:</t>
  </si>
  <si>
    <t>Sales &amp; Marketing:</t>
  </si>
  <si>
    <t>LTV per Subscriber:</t>
  </si>
  <si>
    <t>$ / User</t>
  </si>
  <si>
    <t>Monthly Average Revenue per User (ARPU):</t>
  </si>
  <si>
    <t>CAC per New Subscriber:</t>
  </si>
  <si>
    <t>Xero Limited</t>
  </si>
  <si>
    <t>Months in Forecast Periods:</t>
  </si>
  <si>
    <t>Other Items and Adjustments % Sub. Revenue:</t>
  </si>
  <si>
    <t>(-) Product Design &amp; Development:</t>
  </si>
  <si>
    <t>(-) Lease Interest:</t>
  </si>
  <si>
    <t>Lease-Adjusted Operating Income (EBIT):</t>
  </si>
  <si>
    <t>(+/-) Deferred Taxes:</t>
  </si>
  <si>
    <t>G&amp;A % Revenue:</t>
  </si>
  <si>
    <t>Lease Interest % Revenue:</t>
  </si>
  <si>
    <t>D&amp;A % Revenue:</t>
  </si>
  <si>
    <t>Deferred Taxes % Book Taxes:</t>
  </si>
  <si>
    <t>(-) Capitalized Product Development:</t>
  </si>
  <si>
    <t>(-) Capitalized Sales Commissions:</t>
  </si>
  <si>
    <t>Capitalized Sales Commissions % Change in Rev.:</t>
  </si>
  <si>
    <t>(-) Lease Principal Repayments:</t>
  </si>
  <si>
    <t>Lease Principal Repayments % Revenue:</t>
  </si>
  <si>
    <t>Selected Growth Rate:</t>
  </si>
  <si>
    <t>Selected Monthly Churn Rate:</t>
  </si>
  <si>
    <t>Selected New Subscribers % Total Previous:</t>
  </si>
  <si>
    <t>Selected LTV / CAC:</t>
  </si>
  <si>
    <t>Historical</t>
  </si>
  <si>
    <t>Projected</t>
  </si>
  <si>
    <t>CAGR:</t>
  </si>
  <si>
    <t># Users</t>
  </si>
  <si>
    <t>Product Design &amp; Development per Sub.:</t>
  </si>
  <si>
    <t>Capitalized Product Development per Sub.:</t>
  </si>
  <si>
    <t>(-) Taxes, Excluding Effect of Debt Interest:</t>
  </si>
  <si>
    <t>Current Equity Value:</t>
  </si>
  <si>
    <t>(-) Cash &amp; Cash-Equivalents:</t>
  </si>
  <si>
    <t>(-) Equity Investments &amp; Non-Core Assets:</t>
  </si>
  <si>
    <t>(+) Total Debt:</t>
  </si>
  <si>
    <t>(+) Preferred Stock:</t>
  </si>
  <si>
    <t>(+) Noncontrolling Interests:</t>
  </si>
  <si>
    <t>(+) Unfunded Pensions:</t>
  </si>
  <si>
    <t>Current Enterprise Value:</t>
  </si>
  <si>
    <t>Current Share Price:</t>
  </si>
  <si>
    <t>$ as Stated</t>
  </si>
  <si>
    <t>Diluted Shares:</t>
  </si>
  <si>
    <t>Millions</t>
  </si>
  <si>
    <t>(+) Lease Liabilities:</t>
  </si>
  <si>
    <t>Discount Rate (WACC):</t>
  </si>
  <si>
    <t>Adjustments for Non-Cash Charges and Recurring Investing Line Items:</t>
  </si>
  <si>
    <t>(-) Unfunded Pensions:</t>
  </si>
  <si>
    <t>(-) Lease Liabilities:</t>
  </si>
  <si>
    <t>Diluted Shares Outstanding:</t>
  </si>
  <si>
    <t>Implied Share Price from DCF:</t>
  </si>
  <si>
    <t>Premium / (Discount) to Current:</t>
  </si>
  <si>
    <t>Last Historical Fiscal Year:</t>
  </si>
  <si>
    <t>FY Percentage of Calendar Year:</t>
  </si>
  <si>
    <t>ASX:XRO</t>
  </si>
  <si>
    <t>Ticker:</t>
  </si>
  <si>
    <t>Baseline Terminal EBITDAR Multiple:</t>
  </si>
  <si>
    <t>Terminal UFCF Growth Rate:</t>
  </si>
  <si>
    <t>Terminal EBITDA Multiple:</t>
  </si>
  <si>
    <t>(+) Subscription Revenue:</t>
  </si>
  <si>
    <t>(-) Other Items and Adjustments:</t>
  </si>
  <si>
    <t>Corporate-Level Items and Cash Flows:</t>
  </si>
  <si>
    <t>Subscribers and Revenue:</t>
  </si>
  <si>
    <t>Median TEV / EBITDA of Comps:</t>
  </si>
  <si>
    <t>Subject Co. - Current TEV / EBITDA:</t>
  </si>
  <si>
    <t>(Capitalized R&amp;D + CapEx) % Revenue:</t>
  </si>
  <si>
    <t>(Reference Metric for Projections)</t>
  </si>
  <si>
    <t>($ in Millions NZD Except Per Share and Per Unit Data)</t>
  </si>
  <si>
    <t>($ in Millions Except Per Share and Per Unit Data)</t>
  </si>
  <si>
    <t>Assumptions:</t>
  </si>
  <si>
    <t>Share Count:</t>
  </si>
  <si>
    <t>Tax Rate:</t>
  </si>
  <si>
    <t>TEV / EBITDA:</t>
  </si>
  <si>
    <t>Equity Value:</t>
  </si>
  <si>
    <t>(-) Other Non-Core Assets, Net:</t>
  </si>
  <si>
    <t>Enterprise Value (TEV):</t>
  </si>
  <si>
    <t>Income Statement:</t>
  </si>
  <si>
    <t>Operating Income (EBIT):</t>
  </si>
  <si>
    <t>(-) Net Finance Costs:</t>
  </si>
  <si>
    <t>Pre-Tax Income:</t>
  </si>
  <si>
    <t>(-) Provision For Income Taxes:</t>
  </si>
  <si>
    <t>Net Income:</t>
  </si>
  <si>
    <t>EBITDA Margin:</t>
  </si>
  <si>
    <t>Balance Sheet:</t>
  </si>
  <si>
    <t>ASSETS:</t>
  </si>
  <si>
    <t>Current Assets:</t>
  </si>
  <si>
    <t>Cash &amp; Equivalents:</t>
  </si>
  <si>
    <t>Accounts Receivable:</t>
  </si>
  <si>
    <t>Total Current Assets:</t>
  </si>
  <si>
    <t>Non-Current Assets:</t>
  </si>
  <si>
    <t>Goodwill &amp; Other Intangible Assets:</t>
  </si>
  <si>
    <t>Other Long-Term Assets:</t>
  </si>
  <si>
    <t>Total Non-Current Assets:</t>
  </si>
  <si>
    <t>Total Assets:</t>
  </si>
  <si>
    <t>LIABILITIES AND EQUITY:</t>
  </si>
  <si>
    <t>Current Liabilities:</t>
  </si>
  <si>
    <t>Accounts Payable:</t>
  </si>
  <si>
    <t>Accrued Liabilities:</t>
  </si>
  <si>
    <t>Total Current Liabilities:</t>
  </si>
  <si>
    <t>Non-Current Liabilities:</t>
  </si>
  <si>
    <t>Debt:</t>
  </si>
  <si>
    <t>Other Long-Term Liabilities:</t>
  </si>
  <si>
    <t>Total Non-Current Liabilities:</t>
  </si>
  <si>
    <t>Total Liabilities:</t>
  </si>
  <si>
    <t>Equity:</t>
  </si>
  <si>
    <t>Total Liabilities &amp; Equity:</t>
  </si>
  <si>
    <t>Balance Check:</t>
  </si>
  <si>
    <t>Cash Flow Statement:</t>
  </si>
  <si>
    <t>CASH FLOWS FROM OPERATING ACTIVITIES:</t>
  </si>
  <si>
    <t/>
  </si>
  <si>
    <t>Adjustments for Non-Cash Charges:</t>
  </si>
  <si>
    <t>(+/-) Change in Working Capital:</t>
  </si>
  <si>
    <t>Net Cash Provided by Operating Activities:</t>
  </si>
  <si>
    <t>CASH FLOWS FROM INVESTING ACTIVITIES:</t>
  </si>
  <si>
    <t>Net Cash Used in Investing Activities:</t>
  </si>
  <si>
    <t>CASH FLOWS FROM FINANCING ACTIVITIES:</t>
  </si>
  <si>
    <t>(+) Debt Issuances / (-) Repayments:</t>
  </si>
  <si>
    <t>(+) Net Proceeds from Stock Issuances</t>
  </si>
  <si>
    <t>Net Cash Provided by Financing Activities:</t>
  </si>
  <si>
    <t>Change in Cash &amp; Cash Equivalents:</t>
  </si>
  <si>
    <t>Beginning Cash:</t>
  </si>
  <si>
    <t>Ending Cash:</t>
  </si>
  <si>
    <t>R&amp;D:</t>
  </si>
  <si>
    <t>(-) Expensed R&amp;D:</t>
  </si>
  <si>
    <t>(-) Amortization of Capitalized R&amp;D:</t>
  </si>
  <si>
    <t>(-) Non-R&amp;D Depreciation &amp; Amortization:</t>
  </si>
  <si>
    <t>100% Capitalized</t>
  </si>
  <si>
    <t>100% Expensed</t>
  </si>
  <si>
    <t>Net PP&amp;E:</t>
  </si>
  <si>
    <t>(+) Amortization of Capitalized R&amp;D:</t>
  </si>
  <si>
    <t>(+) Non-R&amp;D Depreciation &amp; Amortization:</t>
  </si>
  <si>
    <t>Lease Assets:</t>
  </si>
  <si>
    <t>Capitalized R&amp;D Asset:</t>
  </si>
  <si>
    <t>Lease Liabilities:</t>
  </si>
  <si>
    <t>(-) Capitalized R&amp;D:</t>
  </si>
  <si>
    <t>EBITDA - Capitalized R&amp;D:</t>
  </si>
  <si>
    <t>TEV / (EBITDA - Capitalized R&amp;D):</t>
  </si>
  <si>
    <t>Capitalized R&amp;D Under IFRS, Valuation Multiples, and Normalization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</si>
</sst>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yyyy\-mm\-dd"/>
    <numFmt numFmtId="165" formatCode="&quot;FY&quot;yy"/>
    <numFmt numFmtId="166" formatCode="_(#,##0.0%_);\(#,##0.0%\);_(&quot;–&quot;_)_%;_(@_)_%"/>
    <numFmt numFmtId="167" formatCode="_(* #,##0.0_);_(* \(#,##0.0\);_(* &quot;-&quot;?_);_(@_)"/>
    <numFmt numFmtId="168" formatCode="0.0%"/>
    <numFmt numFmtId="169" formatCode="_(&quot;$&quot;* #,##0.0_);_(&quot;$&quot;* \(#,##0.0\);_(&quot;$&quot;* &quot;-&quot;?_);_(@_)"/>
    <numFmt numFmtId="170" formatCode="0.0%;\(0.0%\)"/>
    <numFmt numFmtId="171" formatCode="0.0%;\(0.0%\);\-_)_%;@_)_%"/>
    <numFmt numFmtId="172" formatCode="_(* #,##0.0_);_(* \(#,##0.0\);_(* &quot;-&quot;??_);_(@_)"/>
    <numFmt numFmtId="173" formatCode="_(0.0%_);\(0.0%\);_(&quot;–&quot;_)_%;_(@_)_%"/>
    <numFmt numFmtId="174" formatCode="0.0\ \x"/>
    <numFmt numFmtId="175" formatCode="0.0\ \x;\(0.0\ \x\)"/>
    <numFmt numFmtId="176" formatCode="_(0.00%_);\(0.00%\);_(&quot;–&quot;_)_%;_(@_)_%"/>
    <numFmt numFmtId="177" formatCode="_(#,##0.00%_);\(#,##0.00%\);_(&quot;–&quot;_)_%;_(@_)_%"/>
    <numFmt numFmtId="178" formatCode="_(0.0\ \x_);\(0.0\ \x\);_(&quot;–&quot;_);_(@_)"/>
    <numFmt numFmtId="179" formatCode="_(* #,##0_);_(* \(#,##0\);_(* &quot;-&quot;?_);_(@_)"/>
    <numFmt numFmtId="180" formatCode="_(0.0%_);\(0.0%\);_(&quot;–&quot;_);_(@_)"/>
    <numFmt numFmtId="181" formatCode="_(&quot;$&quot;* #,##0.0_);_(&quot;$&quot;* \(#,##0.0\);_(&quot;$&quot;* &quot;-&quot;_);_(@_)"/>
    <numFmt numFmtId="182" formatCode="_(* #,##0_);_(* \(#,##0\);_(* &quot;-&quot;??_);_(@_)"/>
    <numFmt numFmtId="183" formatCode="0.00%;\(0.00%\)"/>
    <numFmt numFmtId="184" formatCode="&quot;FY&quot;\ yy"/>
    <numFmt numFmtId="185" formatCode="0.00%;\(0.00%\);\-_)_%;@_)_%"/>
    <numFmt numFmtId="186" formatCode="_(* #,##0.000_);_(* \(#,##0.000\);_(* &quot;-&quot;???_);_(@_)"/>
    <numFmt numFmtId="187" formatCode="0.000000000000000%"/>
    <numFmt numFmtId="188" formatCode="_([$$-409]* #,##0.0_);_([$$-409]* \(#,##0.0\);_([$$-409]* &quot;-&quot;??_);_(@_)"/>
    <numFmt numFmtId="189" formatCode="&quot;$&quot;#,##0.000\);\(&quot;$&quot;#,##0.000\);&quot;OK!&quot;;&quot;ERROR&quot;"/>
  </numFmts>
  <fonts count="3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i/>
      <sz val="12"/>
      <color rgb="FFFFFFFF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FF"/>
      <name val="Calibri"/>
      <family val="2"/>
    </font>
    <font>
      <sz val="12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i/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sz val="12"/>
      <color rgb="FF00B050"/>
      <name val="Calibri"/>
      <family val="2"/>
      <scheme val="minor"/>
    </font>
    <font>
      <sz val="11"/>
      <color theme="1"/>
      <name val="Calibri"/>
      <family val="2"/>
    </font>
    <font>
      <b/>
      <sz val="12"/>
      <color indexed="9"/>
      <name val="Calibri"/>
      <family val="2"/>
      <scheme val="minor"/>
    </font>
    <font>
      <b/>
      <u/>
      <sz val="12"/>
      <color indexed="9"/>
      <name val="Calibri"/>
      <family val="2"/>
      <scheme val="minor"/>
    </font>
    <font>
      <sz val="8"/>
      <color indexed="8"/>
      <name val="Arial"/>
      <family val="2"/>
    </font>
    <font>
      <u/>
      <sz val="11"/>
      <color theme="10"/>
      <name val="Calibri"/>
      <family val="2"/>
    </font>
    <font>
      <sz val="12"/>
      <color theme="0" tint="-0.1499984740745262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2"/>
      <color rgb="FF0000FF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538DD5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rgb="FFFFFFFF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indexed="64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/>
      <right/>
      <top style="thin">
        <color rgb="FFB2B2B2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9">
    <xf numFmtId="0" fontId="0" fillId="0" borderId="0"/>
    <xf numFmtId="0" fontId="6" fillId="2" borderId="1" applyNumberFormat="0" applyFont="0" applyAlignment="0" applyProtection="0"/>
    <xf numFmtId="0" fontId="16" fillId="0" borderId="0"/>
    <xf numFmtId="0" fontId="6" fillId="0" borderId="0"/>
    <xf numFmtId="0" fontId="24" fillId="0" borderId="0"/>
    <xf numFmtId="0" fontId="24" fillId="0" borderId="0"/>
    <xf numFmtId="0" fontId="4" fillId="0" borderId="0"/>
    <xf numFmtId="0" fontId="4" fillId="2" borderId="1" applyNumberFormat="0" applyFont="0" applyAlignment="0" applyProtection="0"/>
    <xf numFmtId="0" fontId="6" fillId="0" borderId="0"/>
    <xf numFmtId="0" fontId="6" fillId="0" borderId="0"/>
    <xf numFmtId="0" fontId="27" fillId="0" borderId="0" applyAlignment="0"/>
    <xf numFmtId="0" fontId="3" fillId="0" borderId="0"/>
    <xf numFmtId="0" fontId="3" fillId="2" borderId="1" applyNumberFormat="0" applyFont="0" applyAlignment="0" applyProtection="0"/>
    <xf numFmtId="0" fontId="2" fillId="0" borderId="0"/>
    <xf numFmtId="0" fontId="6" fillId="0" borderId="0"/>
    <xf numFmtId="0" fontId="28" fillId="0" borderId="0" applyNumberFormat="0" applyFill="0" applyBorder="0" applyAlignment="0" applyProtection="0"/>
    <xf numFmtId="0" fontId="6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</cellStyleXfs>
  <cellXfs count="227">
    <xf numFmtId="0" fontId="0" fillId="0" borderId="0" xfId="0"/>
    <xf numFmtId="39" fontId="7" fillId="5" borderId="2" xfId="1" applyNumberFormat="1" applyFont="1" applyFill="1" applyBorder="1" applyAlignment="1">
      <alignment horizontal="centerContinuous"/>
    </xf>
    <xf numFmtId="0" fontId="8" fillId="0" borderId="0" xfId="0" applyFont="1"/>
    <xf numFmtId="164" fontId="7" fillId="5" borderId="1" xfId="1" applyNumberFormat="1" applyFont="1" applyFill="1" applyAlignment="1">
      <alignment horizontal="center"/>
    </xf>
    <xf numFmtId="0" fontId="9" fillId="3" borderId="0" xfId="0" applyFont="1" applyFill="1" applyAlignment="1">
      <alignment vertical="center"/>
    </xf>
    <xf numFmtId="0" fontId="9" fillId="3" borderId="3" xfId="0" applyFont="1" applyFill="1" applyBorder="1" applyAlignment="1">
      <alignment horizontal="centerContinuous" vertical="center"/>
    </xf>
    <xf numFmtId="0" fontId="9" fillId="3" borderId="4" xfId="0" applyFont="1" applyFill="1" applyBorder="1" applyAlignment="1">
      <alignment horizontal="centerContinuous" vertical="center"/>
    </xf>
    <xf numFmtId="0" fontId="8" fillId="4" borderId="5" xfId="0" applyFont="1" applyFill="1" applyBorder="1"/>
    <xf numFmtId="0" fontId="11" fillId="0" borderId="0" xfId="0" applyFont="1" applyAlignment="1">
      <alignment horizontal="center"/>
    </xf>
    <xf numFmtId="0" fontId="8" fillId="0" borderId="6" xfId="0" applyFont="1" applyBorder="1"/>
    <xf numFmtId="0" fontId="9" fillId="3" borderId="5" xfId="0" applyFont="1" applyFill="1" applyBorder="1" applyAlignment="1">
      <alignment vertical="center"/>
    </xf>
    <xf numFmtId="0" fontId="10" fillId="3" borderId="5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37" fontId="7" fillId="5" borderId="1" xfId="1" applyNumberFormat="1" applyFont="1" applyFill="1"/>
    <xf numFmtId="37" fontId="7" fillId="0" borderId="0" xfId="1" applyNumberFormat="1" applyFont="1" applyFill="1" applyBorder="1"/>
    <xf numFmtId="43" fontId="8" fillId="0" borderId="0" xfId="0" applyNumberFormat="1" applyFont="1"/>
    <xf numFmtId="0" fontId="5" fillId="0" borderId="0" xfId="0" applyFont="1"/>
    <xf numFmtId="39" fontId="7" fillId="5" borderId="1" xfId="1" applyNumberFormat="1" applyFont="1" applyFill="1" applyAlignment="1">
      <alignment horizontal="centerContinuous"/>
    </xf>
    <xf numFmtId="37" fontId="7" fillId="0" borderId="0" xfId="0" applyNumberFormat="1" applyFont="1"/>
    <xf numFmtId="171" fontId="13" fillId="0" borderId="0" xfId="0" applyNumberFormat="1" applyFont="1"/>
    <xf numFmtId="37" fontId="13" fillId="0" borderId="0" xfId="0" applyNumberFormat="1" applyFont="1"/>
    <xf numFmtId="167" fontId="13" fillId="0" borderId="0" xfId="2" applyNumberFormat="1" applyFont="1"/>
    <xf numFmtId="0" fontId="21" fillId="0" borderId="0" xfId="0" applyFont="1"/>
    <xf numFmtId="167" fontId="23" fillId="0" borderId="0" xfId="0" applyNumberFormat="1" applyFont="1"/>
    <xf numFmtId="0" fontId="8" fillId="4" borderId="5" xfId="0" applyFont="1" applyFill="1" applyBorder="1" applyAlignment="1">
      <alignment horizontal="centerContinuous"/>
    </xf>
    <xf numFmtId="169" fontId="15" fillId="0" borderId="0" xfId="2" applyNumberFormat="1" applyFont="1"/>
    <xf numFmtId="0" fontId="13" fillId="0" borderId="0" xfId="2" applyFont="1" applyAlignment="1">
      <alignment horizontal="left" indent="1"/>
    </xf>
    <xf numFmtId="0" fontId="18" fillId="6" borderId="5" xfId="2" applyFont="1" applyFill="1" applyBorder="1"/>
    <xf numFmtId="0" fontId="22" fillId="6" borderId="5" xfId="2" applyFont="1" applyFill="1" applyBorder="1" applyAlignment="1">
      <alignment horizontal="center"/>
    </xf>
    <xf numFmtId="0" fontId="13" fillId="0" borderId="0" xfId="2" applyFont="1"/>
    <xf numFmtId="0" fontId="3" fillId="0" borderId="0" xfId="0" applyFont="1"/>
    <xf numFmtId="0" fontId="15" fillId="0" borderId="0" xfId="2" applyFont="1"/>
    <xf numFmtId="167" fontId="7" fillId="0" borderId="0" xfId="2" applyNumberFormat="1" applyFont="1"/>
    <xf numFmtId="0" fontId="13" fillId="0" borderId="0" xfId="2" quotePrefix="1" applyFont="1"/>
    <xf numFmtId="0" fontId="18" fillId="6" borderId="0" xfId="2" applyFont="1" applyFill="1"/>
    <xf numFmtId="0" fontId="18" fillId="0" borderId="0" xfId="2" applyFont="1"/>
    <xf numFmtId="14" fontId="18" fillId="6" borderId="5" xfId="2" applyNumberFormat="1" applyFont="1" applyFill="1" applyBorder="1" applyAlignment="1">
      <alignment horizontal="center"/>
    </xf>
    <xf numFmtId="14" fontId="18" fillId="0" borderId="0" xfId="2" applyNumberFormat="1" applyFont="1" applyAlignment="1">
      <alignment horizontal="center"/>
    </xf>
    <xf numFmtId="0" fontId="17" fillId="0" borderId="0" xfId="2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7" fillId="0" borderId="0" xfId="1" applyFont="1" applyFill="1" applyBorder="1" applyAlignment="1">
      <alignment horizontal="centerContinuous"/>
    </xf>
    <xf numFmtId="0" fontId="3" fillId="4" borderId="5" xfId="0" applyFont="1" applyFill="1" applyBorder="1" applyAlignment="1">
      <alignment horizontal="centerContinuous"/>
    </xf>
    <xf numFmtId="177" fontId="23" fillId="0" borderId="0" xfId="0" applyNumberFormat="1" applyFont="1" applyAlignment="1">
      <alignment horizontal="center"/>
    </xf>
    <xf numFmtId="170" fontId="7" fillId="5" borderId="1" xfId="1" applyNumberFormat="1" applyFont="1" applyFill="1" applyAlignment="1">
      <alignment horizontal="center"/>
    </xf>
    <xf numFmtId="169" fontId="3" fillId="0" borderId="0" xfId="0" applyNumberFormat="1" applyFont="1"/>
    <xf numFmtId="174" fontId="13" fillId="0" borderId="0" xfId="2" applyNumberFormat="1" applyFont="1" applyAlignment="1">
      <alignment horizontal="center"/>
    </xf>
    <xf numFmtId="176" fontId="7" fillId="0" borderId="0" xfId="0" applyNumberFormat="1" applyFont="1" applyAlignment="1">
      <alignment horizontal="center"/>
    </xf>
    <xf numFmtId="167" fontId="3" fillId="0" borderId="0" xfId="0" applyNumberFormat="1" applyFont="1"/>
    <xf numFmtId="176" fontId="13" fillId="0" borderId="0" xfId="0" applyNumberFormat="1" applyFont="1" applyAlignment="1">
      <alignment horizontal="center"/>
    </xf>
    <xf numFmtId="0" fontId="15" fillId="4" borderId="6" xfId="2" applyFont="1" applyFill="1" applyBorder="1" applyAlignment="1">
      <alignment horizontal="left"/>
    </xf>
    <xf numFmtId="0" fontId="13" fillId="4" borderId="6" xfId="2" applyFont="1" applyFill="1" applyBorder="1"/>
    <xf numFmtId="167" fontId="8" fillId="4" borderId="6" xfId="0" applyNumberFormat="1" applyFont="1" applyFill="1" applyBorder="1"/>
    <xf numFmtId="0" fontId="17" fillId="0" borderId="0" xfId="2" applyFont="1" applyAlignment="1">
      <alignment horizontal="left"/>
    </xf>
    <xf numFmtId="180" fontId="17" fillId="0" borderId="0" xfId="2" applyNumberFormat="1" applyFont="1"/>
    <xf numFmtId="181" fontId="15" fillId="0" borderId="0" xfId="2" applyNumberFormat="1" applyFont="1"/>
    <xf numFmtId="170" fontId="13" fillId="5" borderId="1" xfId="1" applyNumberFormat="1" applyFont="1" applyFill="1" applyAlignment="1">
      <alignment horizontal="center"/>
    </xf>
    <xf numFmtId="167" fontId="15" fillId="0" borderId="0" xfId="2" applyNumberFormat="1" applyFont="1"/>
    <xf numFmtId="0" fontId="17" fillId="0" borderId="0" xfId="2" applyFont="1" applyAlignment="1">
      <alignment horizontal="left" indent="1"/>
    </xf>
    <xf numFmtId="0" fontId="15" fillId="7" borderId="0" xfId="2" applyFont="1" applyFill="1"/>
    <xf numFmtId="0" fontId="17" fillId="7" borderId="0" xfId="2" applyFont="1" applyFill="1" applyAlignment="1">
      <alignment horizontal="center"/>
    </xf>
    <xf numFmtId="167" fontId="15" fillId="7" borderId="0" xfId="2" applyNumberFormat="1" applyFont="1" applyFill="1"/>
    <xf numFmtId="179" fontId="15" fillId="0" borderId="0" xfId="2" applyNumberFormat="1" applyFont="1"/>
    <xf numFmtId="0" fontId="15" fillId="8" borderId="0" xfId="2" applyFont="1" applyFill="1"/>
    <xf numFmtId="0" fontId="17" fillId="8" borderId="0" xfId="2" applyFont="1" applyFill="1" applyAlignment="1">
      <alignment horizontal="center"/>
    </xf>
    <xf numFmtId="169" fontId="15" fillId="8" borderId="0" xfId="2" applyNumberFormat="1" applyFont="1" applyFill="1"/>
    <xf numFmtId="0" fontId="1" fillId="0" borderId="0" xfId="0" applyFont="1" applyAlignment="1">
      <alignment horizontal="left" indent="1"/>
    </xf>
    <xf numFmtId="0" fontId="1" fillId="0" borderId="0" xfId="0" applyFont="1"/>
    <xf numFmtId="172" fontId="1" fillId="0" borderId="0" xfId="0" applyNumberFormat="1" applyFont="1"/>
    <xf numFmtId="3" fontId="7" fillId="0" borderId="0" xfId="0" applyNumberFormat="1" applyFont="1"/>
    <xf numFmtId="44" fontId="7" fillId="0" borderId="0" xfId="0" applyNumberFormat="1" applyFont="1"/>
    <xf numFmtId="184" fontId="9" fillId="3" borderId="5" xfId="0" applyNumberFormat="1" applyFont="1" applyFill="1" applyBorder="1" applyAlignment="1">
      <alignment horizontal="center" vertical="center"/>
    </xf>
    <xf numFmtId="184" fontId="9" fillId="3" borderId="7" xfId="0" applyNumberFormat="1" applyFont="1" applyFill="1" applyBorder="1" applyAlignment="1">
      <alignment horizontal="center" vertical="center"/>
    </xf>
    <xf numFmtId="44" fontId="1" fillId="0" borderId="0" xfId="0" applyNumberFormat="1" applyFont="1"/>
    <xf numFmtId="3" fontId="1" fillId="0" borderId="0" xfId="0" applyNumberFormat="1" applyFont="1"/>
    <xf numFmtId="185" fontId="7" fillId="0" borderId="0" xfId="0" applyNumberFormat="1" applyFont="1"/>
    <xf numFmtId="43" fontId="1" fillId="0" borderId="0" xfId="0" applyNumberFormat="1" applyFont="1"/>
    <xf numFmtId="172" fontId="7" fillId="0" borderId="0" xfId="0" applyNumberFormat="1" applyFont="1"/>
    <xf numFmtId="172" fontId="14" fillId="0" borderId="0" xfId="0" applyNumberFormat="1" applyFont="1"/>
    <xf numFmtId="172" fontId="1" fillId="0" borderId="5" xfId="0" applyNumberFormat="1" applyFont="1" applyBorder="1"/>
    <xf numFmtId="182" fontId="1" fillId="0" borderId="0" xfId="0" applyNumberFormat="1" applyFont="1"/>
    <xf numFmtId="175" fontId="7" fillId="0" borderId="0" xfId="0" applyNumberFormat="1" applyFont="1"/>
    <xf numFmtId="168" fontId="1" fillId="0" borderId="0" xfId="0" applyNumberFormat="1" applyFont="1"/>
    <xf numFmtId="172" fontId="15" fillId="0" borderId="0" xfId="0" applyNumberFormat="1" applyFont="1"/>
    <xf numFmtId="172" fontId="13" fillId="0" borderId="0" xfId="0" applyNumberFormat="1" applyFont="1"/>
    <xf numFmtId="37" fontId="7" fillId="5" borderId="1" xfId="1" applyNumberFormat="1" applyFont="1" applyFill="1" applyAlignment="1">
      <alignment horizontal="center"/>
    </xf>
    <xf numFmtId="175" fontId="7" fillId="5" borderId="1" xfId="0" applyNumberFormat="1" applyFont="1" applyFill="1" applyBorder="1" applyAlignment="1">
      <alignment horizontal="center"/>
    </xf>
    <xf numFmtId="173" fontId="7" fillId="5" borderId="17" xfId="0" applyNumberFormat="1" applyFont="1" applyFill="1" applyBorder="1" applyAlignment="1">
      <alignment horizontal="center"/>
    </xf>
    <xf numFmtId="44" fontId="13" fillId="0" borderId="0" xfId="0" applyNumberFormat="1" applyFont="1"/>
    <xf numFmtId="43" fontId="13" fillId="0" borderId="0" xfId="0" applyNumberFormat="1" applyFont="1"/>
    <xf numFmtId="183" fontId="7" fillId="0" borderId="0" xfId="1" applyNumberFormat="1" applyFont="1" applyFill="1" applyBorder="1" applyAlignment="1">
      <alignment horizontal="center"/>
    </xf>
    <xf numFmtId="184" fontId="18" fillId="9" borderId="19" xfId="0" applyNumberFormat="1" applyFont="1" applyFill="1" applyBorder="1" applyAlignment="1">
      <alignment horizontal="center"/>
    </xf>
    <xf numFmtId="184" fontId="18" fillId="9" borderId="5" xfId="0" applyNumberFormat="1" applyFont="1" applyFill="1" applyBorder="1" applyAlignment="1">
      <alignment horizontal="center"/>
    </xf>
    <xf numFmtId="0" fontId="18" fillId="9" borderId="18" xfId="2" applyFont="1" applyFill="1" applyBorder="1" applyAlignment="1">
      <alignment horizontal="centerContinuous"/>
    </xf>
    <xf numFmtId="0" fontId="18" fillId="9" borderId="16" xfId="2" applyFont="1" applyFill="1" applyBorder="1" applyAlignment="1">
      <alignment horizontal="centerContinuous"/>
    </xf>
    <xf numFmtId="166" fontId="17" fillId="0" borderId="0" xfId="2" applyNumberFormat="1" applyFont="1" applyAlignment="1">
      <alignment horizontal="center"/>
    </xf>
    <xf numFmtId="171" fontId="17" fillId="0" borderId="0" xfId="0" applyNumberFormat="1" applyFont="1"/>
    <xf numFmtId="9" fontId="1" fillId="0" borderId="0" xfId="0" applyNumberFormat="1" applyFont="1"/>
    <xf numFmtId="0" fontId="11" fillId="0" borderId="0" xfId="0" applyFont="1" applyAlignment="1">
      <alignment horizontal="left" indent="1"/>
    </xf>
    <xf numFmtId="0" fontId="15" fillId="4" borderId="5" xfId="2" applyFont="1" applyFill="1" applyBorder="1" applyAlignment="1">
      <alignment horizontal="left"/>
    </xf>
    <xf numFmtId="0" fontId="17" fillId="4" borderId="5" xfId="2" applyFont="1" applyFill="1" applyBorder="1" applyAlignment="1">
      <alignment horizontal="center"/>
    </xf>
    <xf numFmtId="169" fontId="8" fillId="4" borderId="5" xfId="0" applyNumberFormat="1" applyFont="1" applyFill="1" applyBorder="1"/>
    <xf numFmtId="167" fontId="13" fillId="5" borderId="9" xfId="0" applyNumberFormat="1" applyFont="1" applyFill="1" applyBorder="1"/>
    <xf numFmtId="167" fontId="7" fillId="5" borderId="1" xfId="0" applyNumberFormat="1" applyFont="1" applyFill="1" applyBorder="1"/>
    <xf numFmtId="0" fontId="17" fillId="4" borderId="6" xfId="2" applyFont="1" applyFill="1" applyBorder="1" applyAlignment="1">
      <alignment horizontal="center"/>
    </xf>
    <xf numFmtId="167" fontId="15" fillId="4" borderId="0" xfId="2" applyNumberFormat="1" applyFont="1" applyFill="1"/>
    <xf numFmtId="44" fontId="7" fillId="5" borderId="1" xfId="0" applyNumberFormat="1" applyFont="1" applyFill="1" applyBorder="1"/>
    <xf numFmtId="164" fontId="7" fillId="0" borderId="22" xfId="1" applyNumberFormat="1" applyFont="1" applyFill="1" applyBorder="1" applyAlignment="1">
      <alignment horizontal="center"/>
    </xf>
    <xf numFmtId="167" fontId="13" fillId="5" borderId="1" xfId="0" applyNumberFormat="1" applyFont="1" applyFill="1" applyBorder="1"/>
    <xf numFmtId="167" fontId="13" fillId="5" borderId="21" xfId="0" applyNumberFormat="1" applyFont="1" applyFill="1" applyBorder="1"/>
    <xf numFmtId="167" fontId="13" fillId="0" borderId="0" xfId="1" applyNumberFormat="1" applyFont="1" applyFill="1" applyBorder="1" applyAlignment="1">
      <alignment wrapText="1"/>
    </xf>
    <xf numFmtId="186" fontId="13" fillId="0" borderId="0" xfId="0" applyNumberFormat="1" applyFont="1"/>
    <xf numFmtId="0" fontId="15" fillId="10" borderId="10" xfId="2" applyFont="1" applyFill="1" applyBorder="1"/>
    <xf numFmtId="0" fontId="13" fillId="10" borderId="6" xfId="2" applyFont="1" applyFill="1" applyBorder="1"/>
    <xf numFmtId="44" fontId="15" fillId="10" borderId="11" xfId="2" applyNumberFormat="1" applyFont="1" applyFill="1" applyBorder="1"/>
    <xf numFmtId="0" fontId="15" fillId="10" borderId="14" xfId="2" applyFont="1" applyFill="1" applyBorder="1"/>
    <xf numFmtId="0" fontId="13" fillId="10" borderId="5" xfId="2" applyFont="1" applyFill="1" applyBorder="1"/>
    <xf numFmtId="170" fontId="15" fillId="10" borderId="15" xfId="2" applyNumberFormat="1" applyFont="1" applyFill="1" applyBorder="1"/>
    <xf numFmtId="167" fontId="13" fillId="5" borderId="20" xfId="0" applyNumberFormat="1" applyFont="1" applyFill="1" applyBorder="1"/>
    <xf numFmtId="178" fontId="7" fillId="5" borderId="17" xfId="0" applyNumberFormat="1" applyFont="1" applyFill="1" applyBorder="1" applyAlignment="1">
      <alignment horizontal="center"/>
    </xf>
    <xf numFmtId="167" fontId="7" fillId="5" borderId="1" xfId="1" applyNumberFormat="1" applyFont="1" applyFill="1" applyAlignment="1">
      <alignment horizontal="center" wrapText="1"/>
    </xf>
    <xf numFmtId="166" fontId="13" fillId="0" borderId="0" xfId="2" applyNumberFormat="1" applyFont="1" applyAlignment="1">
      <alignment horizontal="center"/>
    </xf>
    <xf numFmtId="0" fontId="13" fillId="9" borderId="10" xfId="2" applyFont="1" applyFill="1" applyBorder="1"/>
    <xf numFmtId="0" fontId="13" fillId="9" borderId="8" xfId="2" applyFont="1" applyFill="1" applyBorder="1"/>
    <xf numFmtId="0" fontId="18" fillId="9" borderId="8" xfId="2" applyFont="1" applyFill="1" applyBorder="1" applyAlignment="1">
      <alignment horizontal="centerContinuous"/>
    </xf>
    <xf numFmtId="0" fontId="15" fillId="9" borderId="8" xfId="2" applyFont="1" applyFill="1" applyBorder="1" applyAlignment="1">
      <alignment horizontal="centerContinuous"/>
    </xf>
    <xf numFmtId="0" fontId="15" fillId="9" borderId="13" xfId="2" applyFont="1" applyFill="1" applyBorder="1" applyAlignment="1">
      <alignment horizontal="centerContinuous"/>
    </xf>
    <xf numFmtId="0" fontId="13" fillId="9" borderId="23" xfId="2" applyFont="1" applyFill="1" applyBorder="1"/>
    <xf numFmtId="170" fontId="29" fillId="4" borderId="0" xfId="2" applyNumberFormat="1" applyFont="1" applyFill="1"/>
    <xf numFmtId="170" fontId="7" fillId="4" borderId="8" xfId="2" applyNumberFormat="1" applyFont="1" applyFill="1" applyBorder="1" applyAlignment="1">
      <alignment horizontal="center"/>
    </xf>
    <xf numFmtId="44" fontId="30" fillId="0" borderId="0" xfId="1" applyNumberFormat="1" applyFont="1" applyFill="1" applyBorder="1"/>
    <xf numFmtId="44" fontId="31" fillId="0" borderId="0" xfId="1" applyNumberFormat="1" applyFont="1" applyFill="1" applyBorder="1"/>
    <xf numFmtId="43" fontId="30" fillId="0" borderId="0" xfId="1" applyNumberFormat="1" applyFont="1" applyFill="1" applyBorder="1"/>
    <xf numFmtId="43" fontId="31" fillId="0" borderId="0" xfId="1" applyNumberFormat="1" applyFont="1" applyFill="1" applyBorder="1"/>
    <xf numFmtId="178" fontId="13" fillId="4" borderId="8" xfId="2" applyNumberFormat="1" applyFont="1" applyFill="1" applyBorder="1" applyAlignment="1">
      <alignment horizontal="center"/>
    </xf>
    <xf numFmtId="44" fontId="31" fillId="0" borderId="0" xfId="1" applyNumberFormat="1" applyFont="1" applyFill="1" applyBorder="1" applyAlignment="1"/>
    <xf numFmtId="43" fontId="31" fillId="0" borderId="0" xfId="1" applyNumberFormat="1" applyFont="1" applyFill="1" applyBorder="1" applyAlignment="1"/>
    <xf numFmtId="170" fontId="14" fillId="4" borderId="23" xfId="2" applyNumberFormat="1" applyFont="1" applyFill="1" applyBorder="1" applyAlignment="1">
      <alignment horizontal="center"/>
    </xf>
    <xf numFmtId="187" fontId="13" fillId="0" borderId="0" xfId="2" applyNumberFormat="1" applyFont="1"/>
    <xf numFmtId="178" fontId="7" fillId="4" borderId="8" xfId="2" applyNumberFormat="1" applyFont="1" applyFill="1" applyBorder="1" applyAlignment="1">
      <alignment horizontal="center"/>
    </xf>
    <xf numFmtId="178" fontId="15" fillId="4" borderId="8" xfId="2" applyNumberFormat="1" applyFont="1" applyFill="1" applyBorder="1" applyAlignment="1">
      <alignment horizontal="center"/>
    </xf>
    <xf numFmtId="170" fontId="13" fillId="4" borderId="8" xfId="2" applyNumberFormat="1" applyFont="1" applyFill="1" applyBorder="1" applyAlignment="1">
      <alignment horizontal="center"/>
    </xf>
    <xf numFmtId="170" fontId="15" fillId="4" borderId="8" xfId="2" applyNumberFormat="1" applyFont="1" applyFill="1" applyBorder="1" applyAlignment="1">
      <alignment horizontal="center"/>
    </xf>
    <xf numFmtId="170" fontId="13" fillId="4" borderId="12" xfId="2" applyNumberFormat="1" applyFont="1" applyFill="1" applyBorder="1" applyAlignment="1">
      <alignment horizontal="center"/>
    </xf>
    <xf numFmtId="170" fontId="15" fillId="4" borderId="12" xfId="2" applyNumberFormat="1" applyFont="1" applyFill="1" applyBorder="1" applyAlignment="1">
      <alignment horizontal="center"/>
    </xf>
    <xf numFmtId="170" fontId="13" fillId="4" borderId="24" xfId="2" applyNumberFormat="1" applyFont="1" applyFill="1" applyBorder="1" applyAlignment="1">
      <alignment horizontal="center"/>
    </xf>
    <xf numFmtId="171" fontId="8" fillId="0" borderId="0" xfId="0" applyNumberFormat="1" applyFont="1"/>
    <xf numFmtId="186" fontId="13" fillId="5" borderId="17" xfId="0" applyNumberFormat="1" applyFont="1" applyFill="1" applyBorder="1"/>
    <xf numFmtId="171" fontId="7" fillId="0" borderId="0" xfId="0" applyNumberFormat="1" applyFont="1"/>
    <xf numFmtId="9" fontId="7" fillId="0" borderId="0" xfId="0" applyNumberFormat="1" applyFont="1"/>
    <xf numFmtId="170" fontId="15" fillId="0" borderId="0" xfId="2" applyNumberFormat="1" applyFont="1"/>
    <xf numFmtId="178" fontId="15" fillId="0" borderId="0" xfId="2" applyNumberFormat="1" applyFont="1"/>
    <xf numFmtId="170" fontId="13" fillId="4" borderId="13" xfId="2" applyNumberFormat="1" applyFont="1" applyFill="1" applyBorder="1" applyAlignment="1">
      <alignment horizontal="center"/>
    </xf>
    <xf numFmtId="178" fontId="13" fillId="4" borderId="13" xfId="2" applyNumberFormat="1" applyFont="1" applyFill="1" applyBorder="1" applyAlignment="1">
      <alignment horizontal="center"/>
    </xf>
    <xf numFmtId="170" fontId="13" fillId="4" borderId="23" xfId="2" applyNumberFormat="1" applyFont="1" applyFill="1" applyBorder="1" applyAlignment="1">
      <alignment horizontal="center"/>
    </xf>
    <xf numFmtId="171" fontId="32" fillId="0" borderId="0" xfId="0" applyNumberFormat="1" applyFont="1"/>
    <xf numFmtId="185" fontId="7" fillId="5" borderId="1" xfId="0" applyNumberFormat="1" applyFont="1" applyFill="1" applyBorder="1" applyAlignment="1">
      <alignment horizontal="center"/>
    </xf>
    <xf numFmtId="178" fontId="7" fillId="0" borderId="0" xfId="0" applyNumberFormat="1" applyFont="1" applyAlignment="1">
      <alignment horizontal="center"/>
    </xf>
    <xf numFmtId="177" fontId="7" fillId="5" borderId="1" xfId="0" applyNumberFormat="1" applyFont="1" applyFill="1" applyBorder="1" applyAlignment="1">
      <alignment horizontal="center"/>
    </xf>
    <xf numFmtId="177" fontId="13" fillId="0" borderId="0" xfId="0" applyNumberFormat="1" applyFont="1" applyAlignment="1">
      <alignment horizontal="center"/>
    </xf>
    <xf numFmtId="170" fontId="7" fillId="0" borderId="0" xfId="1" applyNumberFormat="1" applyFont="1" applyFill="1" applyBorder="1" applyAlignment="1">
      <alignment horizontal="center"/>
    </xf>
    <xf numFmtId="180" fontId="13" fillId="0" borderId="0" xfId="2" applyNumberFormat="1" applyFont="1"/>
    <xf numFmtId="0" fontId="25" fillId="6" borderId="5" xfId="0" applyFont="1" applyFill="1" applyBorder="1" applyAlignment="1">
      <alignment horizontal="left"/>
    </xf>
    <xf numFmtId="0" fontId="26" fillId="6" borderId="5" xfId="0" applyFont="1" applyFill="1" applyBorder="1" applyAlignment="1">
      <alignment horizontal="left"/>
    </xf>
    <xf numFmtId="0" fontId="26" fillId="0" borderId="0" xfId="0" applyFont="1"/>
    <xf numFmtId="0" fontId="9" fillId="3" borderId="25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Continuous" vertical="center"/>
    </xf>
    <xf numFmtId="165" fontId="9" fillId="3" borderId="26" xfId="0" applyNumberFormat="1" applyFont="1" applyFill="1" applyBorder="1" applyAlignment="1">
      <alignment horizontal="center" vertical="center"/>
    </xf>
    <xf numFmtId="44" fontId="7" fillId="5" borderId="1" xfId="1" applyNumberFormat="1" applyFont="1" applyFill="1"/>
    <xf numFmtId="49" fontId="8" fillId="4" borderId="5" xfId="0" applyNumberFormat="1" applyFont="1" applyFill="1" applyBorder="1"/>
    <xf numFmtId="4" fontId="7" fillId="5" borderId="1" xfId="1" applyNumberFormat="1" applyFont="1" applyFill="1"/>
    <xf numFmtId="170" fontId="12" fillId="5" borderId="1" xfId="1" applyNumberFormat="1" applyFont="1" applyFill="1" applyAlignment="1">
      <alignment horizontal="center"/>
    </xf>
    <xf numFmtId="167" fontId="1" fillId="0" borderId="0" xfId="0" applyNumberFormat="1" applyFont="1"/>
    <xf numFmtId="167" fontId="13" fillId="0" borderId="0" xfId="0" applyNumberFormat="1" applyFont="1"/>
    <xf numFmtId="167" fontId="7" fillId="0" borderId="0" xfId="0" applyNumberFormat="1" applyFont="1"/>
    <xf numFmtId="188" fontId="15" fillId="4" borderId="6" xfId="2" applyNumberFormat="1" applyFont="1" applyFill="1" applyBorder="1" applyAlignment="1">
      <alignment horizontal="left"/>
    </xf>
    <xf numFmtId="188" fontId="7" fillId="0" borderId="0" xfId="0" applyNumberFormat="1" applyFont="1"/>
    <xf numFmtId="167" fontId="15" fillId="0" borderId="0" xfId="0" applyNumberFormat="1" applyFont="1"/>
    <xf numFmtId="0" fontId="8" fillId="0" borderId="0" xfId="0" applyFont="1" applyAlignment="1">
      <alignment horizontal="left"/>
    </xf>
    <xf numFmtId="0" fontId="11" fillId="0" borderId="5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169" fontId="7" fillId="0" borderId="0" xfId="0" applyNumberFormat="1" applyFont="1"/>
    <xf numFmtId="0" fontId="1" fillId="0" borderId="5" xfId="0" applyFont="1" applyBorder="1" applyAlignment="1">
      <alignment horizontal="left" indent="1"/>
    </xf>
    <xf numFmtId="167" fontId="7" fillId="0" borderId="5" xfId="0" applyNumberFormat="1" applyFont="1" applyBorder="1"/>
    <xf numFmtId="167" fontId="8" fillId="0" borderId="0" xfId="0" applyNumberFormat="1" applyFont="1"/>
    <xf numFmtId="167" fontId="15" fillId="0" borderId="6" xfId="0" applyNumberFormat="1" applyFont="1" applyBorder="1"/>
    <xf numFmtId="0" fontId="11" fillId="0" borderId="0" xfId="0" applyFont="1"/>
    <xf numFmtId="0" fontId="8" fillId="4" borderId="8" xfId="0" applyFont="1" applyFill="1" applyBorder="1"/>
    <xf numFmtId="169" fontId="15" fillId="0" borderId="0" xfId="0" applyNumberFormat="1" applyFont="1"/>
    <xf numFmtId="9" fontId="9" fillId="3" borderId="25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left" indent="1"/>
    </xf>
    <xf numFmtId="49" fontId="1" fillId="0" borderId="5" xfId="0" applyNumberFormat="1" applyFont="1" applyBorder="1" applyAlignment="1">
      <alignment horizontal="left" indent="1"/>
    </xf>
    <xf numFmtId="0" fontId="1" fillId="0" borderId="0" xfId="0" applyFont="1" applyAlignment="1">
      <alignment horizontal="left"/>
    </xf>
    <xf numFmtId="9" fontId="7" fillId="0" borderId="0" xfId="2" applyNumberFormat="1" applyFont="1"/>
    <xf numFmtId="167" fontId="8" fillId="0" borderId="6" xfId="0" applyNumberFormat="1" applyFont="1" applyBorder="1"/>
    <xf numFmtId="189" fontId="11" fillId="0" borderId="0" xfId="0" applyNumberFormat="1" applyFont="1" applyAlignment="1">
      <alignment horizontal="center"/>
    </xf>
    <xf numFmtId="167" fontId="7" fillId="5" borderId="1" xfId="0" applyNumberFormat="1" applyFont="1" applyFill="1" applyBorder="1" applyAlignment="1">
      <alignment horizontal="center"/>
    </xf>
    <xf numFmtId="167" fontId="14" fillId="0" borderId="0" xfId="0" applyNumberFormat="1" applyFont="1"/>
    <xf numFmtId="169" fontId="1" fillId="0" borderId="0" xfId="0" applyNumberFormat="1" applyFont="1"/>
    <xf numFmtId="0" fontId="18" fillId="9" borderId="23" xfId="2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" fillId="11" borderId="0" xfId="0" applyFont="1" applyFill="1"/>
    <xf numFmtId="0" fontId="11" fillId="11" borderId="0" xfId="0" applyFont="1" applyFill="1" applyAlignment="1">
      <alignment horizontal="center"/>
    </xf>
    <xf numFmtId="174" fontId="13" fillId="11" borderId="0" xfId="2" applyNumberFormat="1" applyFont="1" applyFill="1" applyAlignment="1">
      <alignment horizontal="center"/>
    </xf>
    <xf numFmtId="0" fontId="13" fillId="11" borderId="0" xfId="2" applyFont="1" applyFill="1" applyAlignment="1">
      <alignment horizontal="left" indent="1"/>
    </xf>
    <xf numFmtId="167" fontId="7" fillId="11" borderId="0" xfId="0" applyNumberFormat="1" applyFont="1" applyFill="1"/>
    <xf numFmtId="0" fontId="8" fillId="11" borderId="0" xfId="0" applyFont="1" applyFill="1" applyAlignment="1">
      <alignment horizontal="left"/>
    </xf>
    <xf numFmtId="167" fontId="8" fillId="11" borderId="0" xfId="0" applyNumberFormat="1" applyFont="1" applyFill="1"/>
    <xf numFmtId="0" fontId="11" fillId="11" borderId="0" xfId="0" applyFont="1" applyFill="1" applyAlignment="1">
      <alignment horizontal="left" indent="1"/>
    </xf>
    <xf numFmtId="168" fontId="17" fillId="11" borderId="0" xfId="0" applyNumberFormat="1" applyFont="1" applyFill="1"/>
    <xf numFmtId="0" fontId="1" fillId="11" borderId="0" xfId="0" applyFont="1" applyFill="1" applyAlignment="1">
      <alignment horizontal="left"/>
    </xf>
    <xf numFmtId="167" fontId="1" fillId="11" borderId="0" xfId="0" applyNumberFormat="1" applyFont="1" applyFill="1"/>
    <xf numFmtId="169" fontId="8" fillId="11" borderId="0" xfId="0" applyNumberFormat="1" applyFont="1" applyFill="1"/>
    <xf numFmtId="0" fontId="1" fillId="11" borderId="0" xfId="0" applyFont="1" applyFill="1" applyAlignment="1">
      <alignment horizontal="left" indent="1"/>
    </xf>
    <xf numFmtId="167" fontId="13" fillId="11" borderId="0" xfId="0" applyNumberFormat="1" applyFont="1" applyFill="1"/>
    <xf numFmtId="0" fontId="11" fillId="11" borderId="5" xfId="0" applyFont="1" applyFill="1" applyBorder="1" applyAlignment="1">
      <alignment horizontal="center"/>
    </xf>
    <xf numFmtId="0" fontId="8" fillId="11" borderId="0" xfId="0" applyFont="1" applyFill="1"/>
    <xf numFmtId="169" fontId="15" fillId="11" borderId="0" xfId="0" applyNumberFormat="1" applyFont="1" applyFill="1"/>
    <xf numFmtId="169" fontId="13" fillId="11" borderId="0" xfId="0" applyNumberFormat="1" applyFont="1" applyFill="1"/>
    <xf numFmtId="167" fontId="15" fillId="11" borderId="0" xfId="0" applyNumberFormat="1" applyFont="1" applyFill="1"/>
    <xf numFmtId="0" fontId="8" fillId="11" borderId="6" xfId="0" applyFont="1" applyFill="1" applyBorder="1" applyAlignment="1">
      <alignment horizontal="left"/>
    </xf>
    <xf numFmtId="167" fontId="15" fillId="11" borderId="6" xfId="0" applyNumberFormat="1" applyFont="1" applyFill="1" applyBorder="1"/>
    <xf numFmtId="0" fontId="8" fillId="11" borderId="6" xfId="0" applyFont="1" applyFill="1" applyBorder="1"/>
    <xf numFmtId="0" fontId="11" fillId="11" borderId="6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 indent="1"/>
    </xf>
    <xf numFmtId="0" fontId="11" fillId="0" borderId="5" xfId="0" applyFont="1" applyFill="1" applyBorder="1" applyAlignment="1">
      <alignment horizontal="center"/>
    </xf>
    <xf numFmtId="167" fontId="7" fillId="0" borderId="27" xfId="0" applyNumberFormat="1" applyFont="1" applyFill="1" applyBorder="1"/>
  </cellXfs>
  <cellStyles count="19">
    <cellStyle name="Hyperlink 2" xfId="15" xr:uid="{CF6F7E0A-488A-485C-B84D-B2FD7296D7BE}"/>
    <cellStyle name="Normal" xfId="0" builtinId="0"/>
    <cellStyle name="Normal 2" xfId="2" xr:uid="{00000000-0005-0000-0000-000001000000}"/>
    <cellStyle name="Normal 3" xfId="5" xr:uid="{A41324E1-7A7D-4045-8E60-C6E266E128E3}"/>
    <cellStyle name="Normal 3 2" xfId="3" xr:uid="{2719BAB6-E2D3-43BD-B4A5-9A4B3131E6D7}"/>
    <cellStyle name="Normal 3 2 2 2" xfId="14" xr:uid="{E128F3FF-3415-4E53-B7FD-3806A935F3DE}"/>
    <cellStyle name="Normal 3 3" xfId="13" xr:uid="{BD48FBBB-9D15-4671-9388-6EA08F2E15A5}"/>
    <cellStyle name="Normal 3 4" xfId="9" xr:uid="{9BBCE4AA-645B-4DAD-B355-6D95F48BB224}"/>
    <cellStyle name="Normal 4" xfId="6" xr:uid="{5F774512-93F7-407A-94EC-7B44A35A9011}"/>
    <cellStyle name="Normal 4 2" xfId="11" xr:uid="{2180CFFD-7177-404A-9616-4021C266A673}"/>
    <cellStyle name="Normal 4 3" xfId="17" xr:uid="{EE204BE8-FAFE-498A-8DAF-6C4754F5881B}"/>
    <cellStyle name="Normal 5 2" xfId="8" xr:uid="{764EF75D-9FF7-4771-A549-66F4579EC7DD}"/>
    <cellStyle name="Normal 5 3" xfId="4" xr:uid="{87127423-7BD1-4436-8D3E-D0983CAA394D}"/>
    <cellStyle name="Note" xfId="1" builtinId="10"/>
    <cellStyle name="Note 2" xfId="7" xr:uid="{3897B675-8474-487C-BDE0-0A84A5A1850E}"/>
    <cellStyle name="Note 2 2" xfId="12" xr:uid="{036F412D-3579-44BF-91A2-E6AA55CA3E85}"/>
    <cellStyle name="Note 2 3" xfId="16" xr:uid="{9A1DA3C6-D1B3-4D03-839E-835DC83AF6F5}"/>
    <cellStyle name="Note 2 4" xfId="18" xr:uid="{CE63E0FA-883A-48BA-AFDA-E2E7CAC3D0C7}"/>
    <cellStyle name="TextNormal" xfId="10" xr:uid="{5FF6DAAE-B677-4033-BA2E-C877D6DD3D17}"/>
  </cellStyles>
  <dxfs count="0"/>
  <tableStyles count="0" defaultTableStyle="TableStyleMedium2" defaultPivotStyle="PivotStyleLight16"/>
  <colors>
    <mruColors>
      <color rgb="FF0000FF"/>
      <color rgb="FF1F497D"/>
      <color rgb="FFFFFF99"/>
      <color rgb="FFB2B2B2"/>
      <color rgb="FFDDEBF7"/>
      <color rgb="FFDCE6F1"/>
      <color rgb="FF1F4E78"/>
      <color rgb="FF538DD5"/>
      <color rgb="FFC5D9F1"/>
      <color rgb="FF8DB4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01E6D-8E4B-498E-A33B-9BED42AFDB13}">
  <sheetPr codeName="Sheet12">
    <pageSetUpPr autoPageBreaks="0"/>
  </sheetPr>
  <dimension ref="B2:W145"/>
  <sheetViews>
    <sheetView showGridLines="0" tabSelected="1" zoomScaleNormal="100" zoomScaleSheetLayoutView="55" workbookViewId="0">
      <pane xSplit="4" topLeftCell="E1" activePane="topRight" state="frozen"/>
      <selection pane="topRight" activeCell="B2" sqref="B2"/>
    </sheetView>
  </sheetViews>
  <sheetFormatPr defaultColWidth="9.15234375" defaultRowHeight="15.9" outlineLevelRow="1" outlineLevelCol="1" x14ac:dyDescent="0.45"/>
  <cols>
    <col min="1" max="2" width="2.69140625" style="29" customWidth="1"/>
    <col min="3" max="3" width="43.69140625" style="29" bestFit="1" customWidth="1"/>
    <col min="4" max="4" width="12.84375" style="29" customWidth="1"/>
    <col min="5" max="9" width="12.69140625" style="29" customWidth="1" outlineLevel="1"/>
    <col min="10" max="19" width="12.69140625" style="29" customWidth="1"/>
    <col min="20" max="20" width="2.69140625" style="29" customWidth="1"/>
    <col min="21" max="23" width="12.69140625" style="29" customWidth="1"/>
    <col min="24" max="16384" width="9.15234375" style="29"/>
  </cols>
  <sheetData>
    <row r="2" spans="2:23" ht="18.45" x14ac:dyDescent="0.5">
      <c r="B2" s="22" t="str">
        <f>"Discounted Cash Flow (DCF) Analysis - "&amp;Company_Name</f>
        <v>Discounted Cash Flow (DCF) Analysis - Xero Limited</v>
      </c>
    </row>
    <row r="3" spans="2:23" x14ac:dyDescent="0.45">
      <c r="B3" s="66" t="s">
        <v>121</v>
      </c>
    </row>
    <row r="5" spans="2:23" x14ac:dyDescent="0.45"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5"/>
      <c r="U5" s="35"/>
      <c r="V5" s="35"/>
      <c r="W5" s="35"/>
    </row>
    <row r="6" spans="2:23" x14ac:dyDescent="0.45">
      <c r="B6" s="27" t="str">
        <f>Company_Name&amp;" - DCF Assumptions &amp; Output:"</f>
        <v>Xero Limited - DCF Assumptions &amp; Output:</v>
      </c>
      <c r="C6" s="27"/>
      <c r="D6" s="28" t="s">
        <v>1</v>
      </c>
      <c r="E6" s="28"/>
      <c r="F6" s="27"/>
      <c r="G6" s="27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7"/>
      <c r="U6" s="66"/>
      <c r="V6" s="66"/>
      <c r="W6" s="66"/>
    </row>
    <row r="7" spans="2:23" outlineLevel="1" x14ac:dyDescent="0.45">
      <c r="V7" s="66"/>
    </row>
    <row r="8" spans="2:23" outlineLevel="1" x14ac:dyDescent="0.45">
      <c r="C8" s="16" t="s">
        <v>0</v>
      </c>
      <c r="D8" s="8" t="s">
        <v>8</v>
      </c>
      <c r="E8" s="1" t="s">
        <v>59</v>
      </c>
      <c r="F8" s="17"/>
      <c r="G8" s="16"/>
      <c r="K8" s="24" t="s">
        <v>30</v>
      </c>
      <c r="L8" s="41"/>
      <c r="M8" s="41"/>
      <c r="N8" s="41"/>
      <c r="P8" s="24" t="s">
        <v>31</v>
      </c>
      <c r="Q8" s="41"/>
      <c r="R8" s="41"/>
      <c r="S8" s="41"/>
    </row>
    <row r="9" spans="2:23" outlineLevel="1" x14ac:dyDescent="0.45">
      <c r="C9" s="29" t="s">
        <v>109</v>
      </c>
      <c r="D9" s="8" t="s">
        <v>8</v>
      </c>
      <c r="E9" s="17" t="s">
        <v>108</v>
      </c>
      <c r="F9" s="106"/>
      <c r="G9" s="16"/>
    </row>
    <row r="10" spans="2:23" outlineLevel="1" x14ac:dyDescent="0.45">
      <c r="F10" s="16"/>
      <c r="G10" s="16"/>
      <c r="K10" s="29" t="s">
        <v>117</v>
      </c>
      <c r="N10" s="156">
        <v>10.546002741002486</v>
      </c>
      <c r="P10" s="29" t="s">
        <v>32</v>
      </c>
      <c r="S10" s="43">
        <v>0.02</v>
      </c>
    </row>
    <row r="11" spans="2:23" outlineLevel="1" x14ac:dyDescent="0.45">
      <c r="C11" s="66" t="s">
        <v>94</v>
      </c>
      <c r="D11" s="38" t="s">
        <v>95</v>
      </c>
      <c r="E11" s="105">
        <v>90.13</v>
      </c>
      <c r="F11" s="14"/>
      <c r="G11" s="16"/>
      <c r="K11" s="29" t="s">
        <v>118</v>
      </c>
      <c r="N11" s="156">
        <v>17.708573269996577</v>
      </c>
    </row>
    <row r="12" spans="2:23" ht="14.5" customHeight="1" outlineLevel="1" x14ac:dyDescent="0.45">
      <c r="C12" s="29" t="s">
        <v>96</v>
      </c>
      <c r="D12" s="38" t="s">
        <v>97</v>
      </c>
      <c r="E12" s="146">
        <f>164.588+2.833</f>
        <v>167.42099999999999</v>
      </c>
    </row>
    <row r="13" spans="2:23" outlineLevel="1" x14ac:dyDescent="0.45">
      <c r="K13" s="29" t="s">
        <v>110</v>
      </c>
      <c r="M13" s="25"/>
      <c r="N13" s="118">
        <v>5.9353022781716378</v>
      </c>
      <c r="P13" s="29" t="s">
        <v>33</v>
      </c>
      <c r="R13" s="25"/>
      <c r="S13" s="43">
        <v>5.0000000000000001E-3</v>
      </c>
    </row>
    <row r="14" spans="2:23" outlineLevel="1" x14ac:dyDescent="0.45">
      <c r="C14" s="66" t="s">
        <v>106</v>
      </c>
      <c r="D14" s="8" t="s">
        <v>9</v>
      </c>
      <c r="E14" s="3">
        <v>46112</v>
      </c>
      <c r="G14" s="39"/>
      <c r="H14" s="40"/>
      <c r="I14" s="40"/>
      <c r="K14" s="65"/>
      <c r="M14" s="8"/>
      <c r="N14" s="156"/>
      <c r="P14" s="65"/>
      <c r="R14" s="8"/>
      <c r="S14" s="159"/>
    </row>
    <row r="15" spans="2:23" outlineLevel="1" x14ac:dyDescent="0.45">
      <c r="C15" s="29" t="s">
        <v>107</v>
      </c>
      <c r="D15" s="38" t="s">
        <v>2</v>
      </c>
      <c r="E15" s="86">
        <v>0.25</v>
      </c>
      <c r="G15" s="38"/>
      <c r="K15" s="29" t="s">
        <v>34</v>
      </c>
      <c r="N15" s="44">
        <f>N13*S123</f>
        <v>28940.472955408735</v>
      </c>
      <c r="P15" s="29" t="s">
        <v>34</v>
      </c>
      <c r="S15" s="44">
        <f>S120*(1+S13)/(Discount_Rate-S13)</f>
        <v>28940.398341805831</v>
      </c>
    </row>
    <row r="16" spans="2:23" outlineLevel="1" x14ac:dyDescent="0.45">
      <c r="C16" s="16" t="s">
        <v>5</v>
      </c>
      <c r="D16" s="8" t="s">
        <v>7</v>
      </c>
      <c r="E16" s="13">
        <v>1000000</v>
      </c>
      <c r="G16" s="42"/>
      <c r="K16" s="29" t="s">
        <v>35</v>
      </c>
      <c r="M16" s="25"/>
      <c r="N16" s="120">
        <f>(N15*Discount_Rate-S120)/(N15+S120)</f>
        <v>5.0001992504593064E-3</v>
      </c>
      <c r="P16" s="29" t="s">
        <v>49</v>
      </c>
      <c r="S16" s="45">
        <f>S15/S123</f>
        <v>5.9352869759238827</v>
      </c>
    </row>
    <row r="17" spans="3:19" outlineLevel="1" x14ac:dyDescent="0.45">
      <c r="C17" s="29" t="s">
        <v>60</v>
      </c>
      <c r="D17" s="8" t="s">
        <v>7</v>
      </c>
      <c r="E17" s="84">
        <v>12</v>
      </c>
    </row>
    <row r="18" spans="3:19" outlineLevel="1" x14ac:dyDescent="0.45">
      <c r="K18" s="26" t="s">
        <v>36</v>
      </c>
      <c r="N18" s="47">
        <f>N15/((1+Discount_Rate)^YEARFRAC($I$39,$S$39))</f>
        <v>12369.072485614062</v>
      </c>
      <c r="P18" s="26" t="s">
        <v>36</v>
      </c>
      <c r="S18" s="47">
        <f>S15/((1+Discount_Rate)^YEARFRAC($I$39,$S$39))</f>
        <v>12369.040595981014</v>
      </c>
    </row>
    <row r="19" spans="3:19" outlineLevel="1" x14ac:dyDescent="0.45">
      <c r="C19" s="29" t="s">
        <v>6</v>
      </c>
      <c r="D19" s="38" t="s">
        <v>2</v>
      </c>
      <c r="E19" s="86">
        <v>0.35</v>
      </c>
      <c r="K19" s="26" t="s">
        <v>37</v>
      </c>
      <c r="N19" s="47">
        <f>NPV(Discount_Rate,$J$120:$S$120)</f>
        <v>6299.5061791369881</v>
      </c>
      <c r="P19" s="26" t="s">
        <v>37</v>
      </c>
      <c r="S19" s="47">
        <f>NPV(Discount_Rate,$J$120:$S$120)</f>
        <v>6299.5061791369881</v>
      </c>
    </row>
    <row r="20" spans="3:19" outlineLevel="1" x14ac:dyDescent="0.45">
      <c r="C20" s="29" t="s">
        <v>29</v>
      </c>
      <c r="D20" s="38" t="s">
        <v>9</v>
      </c>
      <c r="E20" s="3">
        <v>46156</v>
      </c>
      <c r="K20" s="49" t="s">
        <v>38</v>
      </c>
      <c r="L20" s="50"/>
      <c r="M20" s="50"/>
      <c r="N20" s="51">
        <f>SUM(N18:N19)</f>
        <v>18668.57866475105</v>
      </c>
      <c r="P20" s="49" t="s">
        <v>38</v>
      </c>
      <c r="Q20" s="50"/>
      <c r="R20" s="50"/>
      <c r="S20" s="51">
        <f>SUM(S18:S19)</f>
        <v>18668.546775118004</v>
      </c>
    </row>
    <row r="21" spans="3:19" outlineLevel="1" x14ac:dyDescent="0.45">
      <c r="K21" s="26"/>
      <c r="N21" s="47"/>
      <c r="P21" s="26"/>
      <c r="S21" s="47"/>
    </row>
    <row r="22" spans="3:19" outlineLevel="1" x14ac:dyDescent="0.45">
      <c r="C22" s="29" t="s">
        <v>99</v>
      </c>
      <c r="D22" s="38" t="s">
        <v>2</v>
      </c>
      <c r="E22" s="157">
        <v>8.8721624191775927E-2</v>
      </c>
      <c r="K22" s="52" t="s">
        <v>39</v>
      </c>
      <c r="N22" s="53">
        <f>N18/N20</f>
        <v>0.66256101804732692</v>
      </c>
      <c r="P22" s="52" t="s">
        <v>39</v>
      </c>
      <c r="S22" s="53">
        <f>S18/S20</f>
        <v>0.66256044163367023</v>
      </c>
    </row>
    <row r="23" spans="3:19" outlineLevel="1" x14ac:dyDescent="0.45">
      <c r="C23" s="65"/>
      <c r="D23" s="8"/>
      <c r="E23" s="158"/>
      <c r="P23" s="26"/>
      <c r="S23" s="23"/>
    </row>
    <row r="24" spans="3:19" outlineLevel="1" x14ac:dyDescent="0.45">
      <c r="C24" s="98" t="s">
        <v>86</v>
      </c>
      <c r="D24" s="99" t="s">
        <v>3</v>
      </c>
      <c r="E24" s="100">
        <f>Share_Price*E12</f>
        <v>15089.654729999998</v>
      </c>
      <c r="K24" s="26" t="s">
        <v>23</v>
      </c>
      <c r="N24" s="109">
        <f>-$E$25</f>
        <v>1934.143</v>
      </c>
      <c r="P24" s="26" t="str">
        <f>$K$24</f>
        <v>(+) Cash &amp; Cash-Equivalents:</v>
      </c>
      <c r="S24" s="109">
        <f>-$E$25</f>
        <v>1934.143</v>
      </c>
    </row>
    <row r="25" spans="3:19" outlineLevel="1" x14ac:dyDescent="0.45">
      <c r="C25" s="26" t="s">
        <v>87</v>
      </c>
      <c r="D25" s="38" t="s">
        <v>3</v>
      </c>
      <c r="E25" s="101">
        <f>-884.372-1049.771</f>
        <v>-1934.143</v>
      </c>
      <c r="G25" s="46"/>
      <c r="K25" s="26" t="s">
        <v>28</v>
      </c>
      <c r="N25" s="109">
        <f>-$E$26</f>
        <v>-92.131</v>
      </c>
      <c r="P25" s="26" t="str">
        <f>$K$25</f>
        <v>(+) Equity Investments &amp; Non-Core Assets:</v>
      </c>
      <c r="S25" s="109">
        <f>-$E$26</f>
        <v>-92.131</v>
      </c>
    </row>
    <row r="26" spans="3:19" outlineLevel="1" x14ac:dyDescent="0.45">
      <c r="C26" s="26" t="s">
        <v>88</v>
      </c>
      <c r="D26" s="38" t="s">
        <v>3</v>
      </c>
      <c r="E26" s="107">
        <f>-43.726+(-6.45-98.25+230.204+10.353)</f>
        <v>92.131</v>
      </c>
      <c r="G26" s="46"/>
      <c r="K26" s="65" t="s">
        <v>24</v>
      </c>
      <c r="N26" s="109">
        <f>-$E$27</f>
        <v>-2317.5039999999999</v>
      </c>
      <c r="P26" s="65" t="str">
        <f>$K$26</f>
        <v>(-) Total Debt:</v>
      </c>
      <c r="S26" s="109">
        <f>-$E$27</f>
        <v>-2317.5039999999999</v>
      </c>
    </row>
    <row r="27" spans="3:19" outlineLevel="1" x14ac:dyDescent="0.45">
      <c r="C27" s="65" t="s">
        <v>89</v>
      </c>
      <c r="D27" s="38" t="s">
        <v>3</v>
      </c>
      <c r="E27" s="117">
        <f>349.812+349.812+1617.88</f>
        <v>2317.5039999999999</v>
      </c>
      <c r="G27" s="48"/>
      <c r="K27" s="65" t="s">
        <v>26</v>
      </c>
      <c r="N27" s="109">
        <f>-$E$28</f>
        <v>0</v>
      </c>
      <c r="P27" s="65" t="str">
        <f>$K$27</f>
        <v>(-) Preferred Stock:</v>
      </c>
      <c r="S27" s="109">
        <f>-$E$28</f>
        <v>0</v>
      </c>
    </row>
    <row r="28" spans="3:19" outlineLevel="1" x14ac:dyDescent="0.45">
      <c r="C28" s="65" t="s">
        <v>90</v>
      </c>
      <c r="D28" s="38" t="s">
        <v>3</v>
      </c>
      <c r="E28" s="102">
        <v>0</v>
      </c>
      <c r="K28" s="65" t="s">
        <v>25</v>
      </c>
      <c r="N28" s="109">
        <f>-$E$29</f>
        <v>0</v>
      </c>
      <c r="P28" s="65" t="str">
        <f>$K$28</f>
        <v>(-) Noncontrolling Interests:</v>
      </c>
      <c r="S28" s="109">
        <f>-$E$29</f>
        <v>0</v>
      </c>
    </row>
    <row r="29" spans="3:19" outlineLevel="1" x14ac:dyDescent="0.45">
      <c r="C29" s="65" t="s">
        <v>91</v>
      </c>
      <c r="D29" s="38" t="s">
        <v>3</v>
      </c>
      <c r="E29" s="102">
        <v>0</v>
      </c>
      <c r="G29" s="21"/>
      <c r="K29" s="65" t="s">
        <v>101</v>
      </c>
      <c r="N29" s="109">
        <f>-$E$30</f>
        <v>-152.785</v>
      </c>
      <c r="P29" s="65" t="str">
        <f>$K$29</f>
        <v>(-) Unfunded Pensions:</v>
      </c>
      <c r="S29" s="109">
        <f>-$E$30</f>
        <v>-152.785</v>
      </c>
    </row>
    <row r="30" spans="3:19" outlineLevel="1" x14ac:dyDescent="0.45">
      <c r="C30" s="65" t="s">
        <v>92</v>
      </c>
      <c r="D30" s="8" t="s">
        <v>3</v>
      </c>
      <c r="E30" s="102">
        <v>152.785</v>
      </c>
      <c r="K30" s="65" t="s">
        <v>102</v>
      </c>
      <c r="N30" s="119">
        <v>0</v>
      </c>
      <c r="P30" s="65" t="str">
        <f>$K$30</f>
        <v>(-) Lease Liabilities:</v>
      </c>
      <c r="S30" s="119">
        <v>0</v>
      </c>
    </row>
    <row r="31" spans="3:19" outlineLevel="1" x14ac:dyDescent="0.45">
      <c r="C31" s="65" t="s">
        <v>98</v>
      </c>
      <c r="D31" s="8" t="s">
        <v>3</v>
      </c>
      <c r="E31" s="108">
        <f>33.489+138.827</f>
        <v>172.316</v>
      </c>
      <c r="K31" s="49" t="s">
        <v>40</v>
      </c>
      <c r="L31" s="50"/>
      <c r="M31" s="50"/>
      <c r="N31" s="51">
        <f>N20+SUM(N24:N30)</f>
        <v>18040.301664751052</v>
      </c>
      <c r="P31" s="49" t="str">
        <f>$K$31</f>
        <v>Implied Equity Value:</v>
      </c>
      <c r="Q31" s="50"/>
      <c r="R31" s="50"/>
      <c r="S31" s="51">
        <f>S20+SUM(S24:S30)</f>
        <v>18040.269775118006</v>
      </c>
    </row>
    <row r="32" spans="3:19" outlineLevel="1" x14ac:dyDescent="0.45">
      <c r="C32" s="49" t="s">
        <v>93</v>
      </c>
      <c r="D32" s="103" t="s">
        <v>3</v>
      </c>
      <c r="E32" s="104">
        <f>SUM(E24:E31)</f>
        <v>15890.247729999997</v>
      </c>
      <c r="K32" s="26"/>
      <c r="N32" s="47"/>
      <c r="P32" s="26"/>
      <c r="S32" s="47"/>
    </row>
    <row r="33" spans="2:22" outlineLevel="1" x14ac:dyDescent="0.45">
      <c r="K33" s="29" t="s">
        <v>103</v>
      </c>
      <c r="N33" s="110">
        <f>$E$12</f>
        <v>167.42099999999999</v>
      </c>
      <c r="P33" s="29" t="str">
        <f>$K$33</f>
        <v>Diluted Shares Outstanding:</v>
      </c>
      <c r="S33" s="110">
        <f>$E$12</f>
        <v>167.42099999999999</v>
      </c>
    </row>
    <row r="34" spans="2:22" outlineLevel="1" x14ac:dyDescent="0.45"/>
    <row r="35" spans="2:22" outlineLevel="1" x14ac:dyDescent="0.45">
      <c r="K35" s="111" t="s">
        <v>104</v>
      </c>
      <c r="L35" s="112"/>
      <c r="M35" s="112"/>
      <c r="N35" s="113">
        <f>N31/N33</f>
        <v>107.754114864629</v>
      </c>
      <c r="P35" s="111" t="str">
        <f>$K$35</f>
        <v>Implied Share Price from DCF:</v>
      </c>
      <c r="Q35" s="112"/>
      <c r="R35" s="112"/>
      <c r="S35" s="113">
        <f>S31/S33</f>
        <v>107.75392438892376</v>
      </c>
    </row>
    <row r="36" spans="2:22" outlineLevel="1" x14ac:dyDescent="0.45">
      <c r="K36" s="114" t="s">
        <v>105</v>
      </c>
      <c r="L36" s="115"/>
      <c r="M36" s="115"/>
      <c r="N36" s="116">
        <f>N35/Share_Price-1</f>
        <v>0.19554105031209379</v>
      </c>
      <c r="P36" s="114" t="str">
        <f>$K$36</f>
        <v>Premium / (Discount) to Current:</v>
      </c>
      <c r="Q36" s="115"/>
      <c r="R36" s="115"/>
      <c r="S36" s="116">
        <f>S35/Share_Price-1</f>
        <v>0.19553893696797697</v>
      </c>
    </row>
    <row r="37" spans="2:22" x14ac:dyDescent="0.45">
      <c r="K37" s="26"/>
      <c r="N37" s="47"/>
      <c r="P37" s="26"/>
      <c r="S37" s="47"/>
    </row>
    <row r="38" spans="2:22" x14ac:dyDescent="0.45">
      <c r="B38" s="4"/>
      <c r="C38" s="4"/>
      <c r="D38" s="4"/>
      <c r="E38" s="5" t="s">
        <v>10</v>
      </c>
      <c r="F38" s="5"/>
      <c r="G38" s="5"/>
      <c r="H38" s="5"/>
      <c r="I38" s="5"/>
      <c r="J38" s="6" t="s">
        <v>11</v>
      </c>
      <c r="K38" s="5"/>
      <c r="L38" s="5"/>
      <c r="M38" s="5"/>
      <c r="N38" s="5"/>
      <c r="O38" s="5"/>
      <c r="P38" s="5"/>
      <c r="Q38" s="5"/>
      <c r="R38" s="5"/>
      <c r="S38" s="5"/>
      <c r="U38" s="92" t="s">
        <v>79</v>
      </c>
      <c r="V38" s="93" t="s">
        <v>80</v>
      </c>
    </row>
    <row r="39" spans="2:22" x14ac:dyDescent="0.45">
      <c r="B39" s="10" t="s">
        <v>116</v>
      </c>
      <c r="C39" s="10"/>
      <c r="D39" s="11" t="s">
        <v>1</v>
      </c>
      <c r="E39" s="70">
        <f t="shared" ref="E39" si="0">EOMONTH(F39,-12)</f>
        <v>44651</v>
      </c>
      <c r="F39" s="70">
        <f t="shared" ref="F39" si="1">EOMONTH(G39,-12)</f>
        <v>45016</v>
      </c>
      <c r="G39" s="70">
        <f t="shared" ref="G39" si="2">EOMONTH(H39,-12)</f>
        <v>45382</v>
      </c>
      <c r="H39" s="70">
        <f t="shared" ref="H39" si="3">EOMONTH(I39,-12)</f>
        <v>45747</v>
      </c>
      <c r="I39" s="70">
        <f>Last_FY</f>
        <v>46112</v>
      </c>
      <c r="J39" s="71">
        <f t="shared" ref="J39:S39" si="4">EOMONTH(I39,Months)</f>
        <v>46477</v>
      </c>
      <c r="K39" s="70">
        <f t="shared" si="4"/>
        <v>46843</v>
      </c>
      <c r="L39" s="70">
        <f t="shared" si="4"/>
        <v>47208</v>
      </c>
      <c r="M39" s="70">
        <f t="shared" si="4"/>
        <v>47573</v>
      </c>
      <c r="N39" s="70">
        <f t="shared" si="4"/>
        <v>47938</v>
      </c>
      <c r="O39" s="70">
        <f t="shared" si="4"/>
        <v>48304</v>
      </c>
      <c r="P39" s="70">
        <f t="shared" si="4"/>
        <v>48669</v>
      </c>
      <c r="Q39" s="70">
        <f t="shared" si="4"/>
        <v>49034</v>
      </c>
      <c r="R39" s="70">
        <f t="shared" si="4"/>
        <v>49399</v>
      </c>
      <c r="S39" s="70">
        <f t="shared" si="4"/>
        <v>49765</v>
      </c>
      <c r="U39" s="90" t="s">
        <v>81</v>
      </c>
      <c r="V39" s="91" t="s">
        <v>81</v>
      </c>
    </row>
    <row r="40" spans="2:22" x14ac:dyDescent="0.45">
      <c r="B40" s="2"/>
      <c r="C40" s="66" t="s">
        <v>57</v>
      </c>
      <c r="D40" s="8" t="s">
        <v>56</v>
      </c>
      <c r="E40" s="69">
        <v>31.35</v>
      </c>
      <c r="F40" s="69">
        <v>34.61</v>
      </c>
      <c r="G40" s="69">
        <v>39.29</v>
      </c>
      <c r="H40" s="69">
        <v>45.08</v>
      </c>
      <c r="I40" s="69">
        <v>51.2</v>
      </c>
      <c r="J40" s="72">
        <f>I40*(1+J41)</f>
        <v>60.456430508610822</v>
      </c>
      <c r="K40" s="72">
        <f t="shared" ref="K40:S40" si="5">J40*(1+K41)</f>
        <v>68.982263560444139</v>
      </c>
      <c r="L40" s="72">
        <f t="shared" si="5"/>
        <v>78.391833198898652</v>
      </c>
      <c r="M40" s="72">
        <f t="shared" si="5"/>
        <v>88.716888989373373</v>
      </c>
      <c r="N40" s="72">
        <f t="shared" si="5"/>
        <v>99.970843985971442</v>
      </c>
      <c r="O40" s="72">
        <f t="shared" si="5"/>
        <v>112.15268581146935</v>
      </c>
      <c r="P40" s="72">
        <f t="shared" si="5"/>
        <v>124.75771324200363</v>
      </c>
      <c r="Q40" s="72">
        <f t="shared" si="5"/>
        <v>138.19357441577304</v>
      </c>
      <c r="R40" s="72">
        <f t="shared" si="5"/>
        <v>152.46141242097482</v>
      </c>
      <c r="S40" s="72">
        <f t="shared" si="5"/>
        <v>167.56213146456619</v>
      </c>
      <c r="U40" s="94">
        <f>(I40/E40)^(1/YEARFRAC(E$39,I$39))-1</f>
        <v>0.1304675590787181</v>
      </c>
      <c r="V40" s="94">
        <f>(S40/I40)^(1/YEARFRAC(I$39,S$39))-1</f>
        <v>0.12587607783890187</v>
      </c>
    </row>
    <row r="41" spans="2:22" x14ac:dyDescent="0.45">
      <c r="B41" s="2"/>
      <c r="C41" s="65" t="s">
        <v>75</v>
      </c>
      <c r="D41" s="8" t="s">
        <v>2</v>
      </c>
      <c r="E41" s="147">
        <v>6.9965870307167277E-2</v>
      </c>
      <c r="F41" s="19">
        <f>F40/E40-1</f>
        <v>0.10398724082934607</v>
      </c>
      <c r="G41" s="19">
        <f t="shared" ref="G41" si="6">G40/F40-1</f>
        <v>0.13522103438312616</v>
      </c>
      <c r="H41" s="19">
        <f t="shared" ref="H41" si="7">H40/G40-1</f>
        <v>0.14736574191906326</v>
      </c>
      <c r="I41" s="19">
        <f t="shared" ref="I41" si="8">I40/H40-1</f>
        <v>0.13575865128660181</v>
      </c>
      <c r="J41" s="43">
        <v>0.18078965837130517</v>
      </c>
      <c r="K41" s="43">
        <v>0.14102442006758881</v>
      </c>
      <c r="L41" s="43">
        <v>0.13640563751883258</v>
      </c>
      <c r="M41" s="43">
        <v>0.13171086029175513</v>
      </c>
      <c r="N41" s="43">
        <v>0.12685245306500861</v>
      </c>
      <c r="O41" s="43">
        <v>0.12185394600857161</v>
      </c>
      <c r="P41" s="43">
        <v>0.11239166801340415</v>
      </c>
      <c r="Q41" s="43">
        <v>0.10769563520058018</v>
      </c>
      <c r="R41" s="43">
        <v>0.10324530692197853</v>
      </c>
      <c r="S41" s="43">
        <v>9.9046170462434399E-2</v>
      </c>
    </row>
    <row r="42" spans="2:22" x14ac:dyDescent="0.45">
      <c r="B42" s="2"/>
      <c r="C42" s="66"/>
      <c r="D42" s="8"/>
      <c r="E42" s="69"/>
      <c r="F42" s="69"/>
      <c r="G42" s="69"/>
      <c r="H42" s="69"/>
      <c r="I42" s="148"/>
      <c r="J42" s="2"/>
      <c r="K42" s="2"/>
      <c r="L42" s="2"/>
      <c r="M42" s="2"/>
      <c r="N42" s="2"/>
      <c r="O42" s="16"/>
      <c r="P42" s="16"/>
      <c r="Q42" s="16"/>
      <c r="R42" s="16"/>
      <c r="S42" s="16"/>
    </row>
    <row r="43" spans="2:22" x14ac:dyDescent="0.45">
      <c r="B43" s="2"/>
      <c r="C43" s="66" t="s">
        <v>50</v>
      </c>
      <c r="D43" s="8" t="s">
        <v>82</v>
      </c>
      <c r="E43" s="68">
        <v>3271000</v>
      </c>
      <c r="F43" s="68">
        <v>3741000</v>
      </c>
      <c r="G43" s="68">
        <v>4160000</v>
      </c>
      <c r="H43" s="68">
        <v>4414000</v>
      </c>
      <c r="I43" s="68">
        <v>4868000</v>
      </c>
      <c r="J43" s="73">
        <f t="shared" ref="J43:S43" si="9">I43+J48+J49</f>
        <v>5217825.9999999991</v>
      </c>
      <c r="K43" s="73">
        <f t="shared" si="9"/>
        <v>5554581.9999999991</v>
      </c>
      <c r="L43" s="73">
        <f t="shared" si="9"/>
        <v>5872337</v>
      </c>
      <c r="M43" s="73">
        <f t="shared" si="9"/>
        <v>6165145</v>
      </c>
      <c r="N43" s="73">
        <f t="shared" si="9"/>
        <v>6427221</v>
      </c>
      <c r="O43" s="73">
        <f t="shared" si="9"/>
        <v>6653126</v>
      </c>
      <c r="P43" s="73">
        <f t="shared" si="9"/>
        <v>6837946</v>
      </c>
      <c r="Q43" s="73">
        <f t="shared" si="9"/>
        <v>6981184</v>
      </c>
      <c r="R43" s="73">
        <f t="shared" si="9"/>
        <v>7087340.9999999991</v>
      </c>
      <c r="S43" s="73">
        <f t="shared" si="9"/>
        <v>7154529.9999999981</v>
      </c>
      <c r="U43" s="94">
        <f>(I43/E43)^(1/YEARFRAC(E$39,I$39))-1</f>
        <v>0.10450454255742625</v>
      </c>
      <c r="V43" s="94">
        <f>(S43/I43)^(1/YEARFRAC(I$39,S$39))-1</f>
        <v>3.9257228620968698E-2</v>
      </c>
    </row>
    <row r="44" spans="2:22" x14ac:dyDescent="0.45">
      <c r="B44" s="2"/>
      <c r="C44" s="66" t="s">
        <v>51</v>
      </c>
      <c r="D44" s="8" t="s">
        <v>82</v>
      </c>
      <c r="E44" s="20">
        <v>530000</v>
      </c>
      <c r="F44" s="20">
        <f>F43-E43</f>
        <v>470000</v>
      </c>
      <c r="G44" s="20">
        <f t="shared" ref="G44" si="10">G43-F43</f>
        <v>419000</v>
      </c>
      <c r="H44" s="20">
        <f t="shared" ref="H44" si="11">H43-G43</f>
        <v>254000</v>
      </c>
      <c r="I44" s="20">
        <f t="shared" ref="I44" si="12">I43-H43</f>
        <v>454000</v>
      </c>
      <c r="J44" s="20">
        <f t="shared" ref="J44" si="13">J43-I43</f>
        <v>349825.99999999907</v>
      </c>
      <c r="K44" s="20">
        <f t="shared" ref="K44" si="14">K43-J43</f>
        <v>336756</v>
      </c>
      <c r="L44" s="20">
        <f t="shared" ref="L44" si="15">L43-K43</f>
        <v>317755.00000000093</v>
      </c>
      <c r="M44" s="20">
        <f t="shared" ref="M44" si="16">M43-L43</f>
        <v>292808</v>
      </c>
      <c r="N44" s="20">
        <f t="shared" ref="N44" si="17">N43-M43</f>
        <v>262076</v>
      </c>
      <c r="O44" s="20">
        <f t="shared" ref="O44" si="18">O43-N43</f>
        <v>225905</v>
      </c>
      <c r="P44" s="20">
        <f t="shared" ref="P44" si="19">P43-O43</f>
        <v>184820</v>
      </c>
      <c r="Q44" s="20">
        <f t="shared" ref="Q44" si="20">Q43-P43</f>
        <v>143238</v>
      </c>
      <c r="R44" s="20">
        <f t="shared" ref="R44" si="21">R43-Q43</f>
        <v>106156.99999999907</v>
      </c>
      <c r="S44" s="20">
        <f t="shared" ref="S44" si="22">S43-R43</f>
        <v>67188.999999999069</v>
      </c>
      <c r="U44" s="94"/>
      <c r="V44" s="94"/>
    </row>
    <row r="45" spans="2:22" x14ac:dyDescent="0.45">
      <c r="B45" s="2"/>
      <c r="C45" s="2"/>
      <c r="D45" s="2"/>
      <c r="E45" s="2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</row>
    <row r="46" spans="2:22" x14ac:dyDescent="0.45">
      <c r="B46" s="2"/>
      <c r="C46" s="66" t="s">
        <v>76</v>
      </c>
      <c r="D46" s="8" t="s">
        <v>2</v>
      </c>
      <c r="E46" s="74">
        <v>8.9999999999999993E-3</v>
      </c>
      <c r="F46" s="74">
        <v>8.9999999999999993E-3</v>
      </c>
      <c r="G46" s="74">
        <v>9.9000000000000008E-3</v>
      </c>
      <c r="H46" s="74">
        <v>1.03E-2</v>
      </c>
      <c r="I46" s="74">
        <v>1.14E-2</v>
      </c>
      <c r="J46" s="155">
        <v>1.1439742536291429E-2</v>
      </c>
      <c r="K46" s="155">
        <v>1.1704363720318266E-2</v>
      </c>
      <c r="L46" s="155">
        <v>1.1968032277976397E-2</v>
      </c>
      <c r="M46" s="155">
        <v>1.2230621868828942E-2</v>
      </c>
      <c r="N46" s="155">
        <v>1.2492041955217598E-2</v>
      </c>
      <c r="O46" s="155">
        <v>1.2752167694249196E-2</v>
      </c>
      <c r="P46" s="155">
        <v>1.3010913967359103E-2</v>
      </c>
      <c r="Q46" s="155">
        <v>1.3222879112138836E-2</v>
      </c>
      <c r="R46" s="155">
        <v>1.3344059307609337E-2</v>
      </c>
      <c r="S46" s="155">
        <v>1.3468438539456014E-2</v>
      </c>
    </row>
    <row r="47" spans="2:22" x14ac:dyDescent="0.45">
      <c r="B47" s="2"/>
      <c r="C47" s="65"/>
      <c r="D47" s="8"/>
      <c r="E47" s="74"/>
      <c r="F47" s="74"/>
      <c r="G47" s="74"/>
      <c r="H47" s="74"/>
      <c r="I47" s="74"/>
      <c r="J47" s="89"/>
      <c r="K47" s="89"/>
      <c r="L47" s="89"/>
      <c r="M47" s="89"/>
      <c r="N47" s="89"/>
      <c r="O47" s="89"/>
      <c r="P47" s="89"/>
      <c r="Q47" s="89"/>
      <c r="R47" s="89"/>
      <c r="S47" s="89"/>
    </row>
    <row r="48" spans="2:22" x14ac:dyDescent="0.45">
      <c r="B48" s="2"/>
      <c r="C48" s="66" t="s">
        <v>52</v>
      </c>
      <c r="D48" s="8" t="s">
        <v>82</v>
      </c>
      <c r="E48" s="18">
        <v>-297799.2</v>
      </c>
      <c r="F48" s="20">
        <f t="shared" ref="F48:S48" si="23">-E43*F46*Months</f>
        <v>-353267.99999999994</v>
      </c>
      <c r="G48" s="20">
        <f t="shared" si="23"/>
        <v>-444430.80000000005</v>
      </c>
      <c r="H48" s="20">
        <f t="shared" si="23"/>
        <v>-514176</v>
      </c>
      <c r="I48" s="20">
        <f t="shared" si="23"/>
        <v>-603835.19999999995</v>
      </c>
      <c r="J48" s="20">
        <f t="shared" si="23"/>
        <v>-668264.00000000012</v>
      </c>
      <c r="K48" s="20">
        <f t="shared" si="23"/>
        <v>-732856.00000000035</v>
      </c>
      <c r="L48" s="20">
        <f t="shared" si="23"/>
        <v>-797729.00000000023</v>
      </c>
      <c r="M48" s="20">
        <f t="shared" si="23"/>
        <v>-861868.00000000012</v>
      </c>
      <c r="N48" s="20">
        <f t="shared" si="23"/>
        <v>-924183</v>
      </c>
      <c r="O48" s="20">
        <f t="shared" si="23"/>
        <v>-983532.00000000023</v>
      </c>
      <c r="P48" s="20">
        <f t="shared" si="23"/>
        <v>-1038759</v>
      </c>
      <c r="Q48" s="20">
        <f t="shared" si="23"/>
        <v>-1085007.9999999998</v>
      </c>
      <c r="R48" s="20">
        <f t="shared" si="23"/>
        <v>-1117888.0000000007</v>
      </c>
      <c r="S48" s="20">
        <f t="shared" si="23"/>
        <v>-1145465.0000000005</v>
      </c>
      <c r="U48" s="94"/>
      <c r="V48" s="94"/>
    </row>
    <row r="49" spans="2:22" x14ac:dyDescent="0.45">
      <c r="B49" s="2"/>
      <c r="C49" s="66" t="s">
        <v>53</v>
      </c>
      <c r="D49" s="8" t="s">
        <v>82</v>
      </c>
      <c r="E49" s="20">
        <f>E44-E48</f>
        <v>827799.2</v>
      </c>
      <c r="F49" s="20">
        <f>F44-F48</f>
        <v>823268</v>
      </c>
      <c r="G49" s="20">
        <f>G44-G48</f>
        <v>863430.8</v>
      </c>
      <c r="H49" s="20">
        <f>H44-H48</f>
        <v>768176</v>
      </c>
      <c r="I49" s="20">
        <f>I44-I48</f>
        <v>1057835.2</v>
      </c>
      <c r="J49" s="20">
        <f t="shared" ref="J49:S49" si="24">J50*I43</f>
        <v>1018089.9999999994</v>
      </c>
      <c r="K49" s="20">
        <f t="shared" si="24"/>
        <v>1069612</v>
      </c>
      <c r="L49" s="20">
        <f t="shared" si="24"/>
        <v>1115484.0000000009</v>
      </c>
      <c r="M49" s="20">
        <f t="shared" si="24"/>
        <v>1154675.9999999995</v>
      </c>
      <c r="N49" s="20">
        <f t="shared" si="24"/>
        <v>1186259</v>
      </c>
      <c r="O49" s="20">
        <f t="shared" si="24"/>
        <v>1209436.9999999998</v>
      </c>
      <c r="P49" s="20">
        <f t="shared" si="24"/>
        <v>1223579.0000000002</v>
      </c>
      <c r="Q49" s="20">
        <f t="shared" si="24"/>
        <v>1228246.0000000005</v>
      </c>
      <c r="R49" s="20">
        <f t="shared" si="24"/>
        <v>1224045.0000000002</v>
      </c>
      <c r="S49" s="20">
        <f t="shared" si="24"/>
        <v>1212654.0000000002</v>
      </c>
      <c r="U49" s="94"/>
      <c r="V49" s="94"/>
    </row>
    <row r="50" spans="2:22" x14ac:dyDescent="0.45">
      <c r="B50" s="2"/>
      <c r="C50" s="65" t="s">
        <v>77</v>
      </c>
      <c r="D50" s="8" t="s">
        <v>2</v>
      </c>
      <c r="E50" s="147">
        <v>0.30200627508208683</v>
      </c>
      <c r="F50" s="19">
        <f>F49/E43</f>
        <v>0.25168694588810764</v>
      </c>
      <c r="G50" s="19">
        <f>G49/F43</f>
        <v>0.2308021384656509</v>
      </c>
      <c r="H50" s="19">
        <f>H49/G43</f>
        <v>0.1846576923076923</v>
      </c>
      <c r="I50" s="19">
        <f>I49/H43</f>
        <v>0.23965455369279565</v>
      </c>
      <c r="J50" s="43">
        <v>0.20913927691043538</v>
      </c>
      <c r="K50" s="43">
        <v>0.20499188742591268</v>
      </c>
      <c r="L50" s="43">
        <v>0.20082231210197296</v>
      </c>
      <c r="M50" s="43">
        <v>0.19662972339632406</v>
      </c>
      <c r="N50" s="43">
        <v>0.19241380373048811</v>
      </c>
      <c r="O50" s="43">
        <v>0.18817417356583813</v>
      </c>
      <c r="P50" s="43">
        <v>0.18391039039392915</v>
      </c>
      <c r="Q50" s="43">
        <v>0.17962206779638221</v>
      </c>
      <c r="R50" s="43">
        <v>0.17533487156333372</v>
      </c>
      <c r="S50" s="43">
        <v>0.17110140460293929</v>
      </c>
    </row>
    <row r="51" spans="2:22" x14ac:dyDescent="0.45">
      <c r="B51" s="2"/>
      <c r="C51" s="2"/>
      <c r="D51" s="2"/>
      <c r="E51" s="2"/>
      <c r="F51" s="2"/>
      <c r="G51" s="15"/>
      <c r="H51" s="15"/>
      <c r="I51" s="15"/>
      <c r="J51" s="2"/>
      <c r="K51" s="2"/>
      <c r="L51" s="2"/>
      <c r="M51" s="2"/>
      <c r="N51" s="2"/>
      <c r="O51" s="16"/>
      <c r="P51" s="16"/>
      <c r="Q51" s="16"/>
      <c r="R51" s="16"/>
      <c r="S51" s="16"/>
    </row>
    <row r="52" spans="2:22" x14ac:dyDescent="0.45">
      <c r="B52" s="2"/>
      <c r="C52" s="65" t="s">
        <v>113</v>
      </c>
      <c r="D52" s="8" t="s">
        <v>3</v>
      </c>
      <c r="E52" s="76">
        <v>1131.4160999999999</v>
      </c>
      <c r="F52" s="67">
        <f t="shared" ref="F52:S52" si="25">AVERAGE(E43,F43)*F40*Months/Units</f>
        <v>1456.1119200000001</v>
      </c>
      <c r="G52" s="67">
        <f t="shared" si="25"/>
        <v>1862.5817400000001</v>
      </c>
      <c r="H52" s="67">
        <f t="shared" si="25"/>
        <v>2319.0955199999999</v>
      </c>
      <c r="I52" s="67">
        <f t="shared" si="25"/>
        <v>2851.4304000000002</v>
      </c>
      <c r="J52" s="67">
        <f t="shared" si="25"/>
        <v>3658.5182321456414</v>
      </c>
      <c r="K52" s="67">
        <f t="shared" si="25"/>
        <v>4458.6305270198209</v>
      </c>
      <c r="L52" s="67">
        <f t="shared" si="25"/>
        <v>5374.6627693519558</v>
      </c>
      <c r="M52" s="67">
        <f t="shared" si="25"/>
        <v>6407.5677258334808</v>
      </c>
      <c r="N52" s="67">
        <f t="shared" si="25"/>
        <v>7553.2167408015075</v>
      </c>
      <c r="O52" s="67">
        <f t="shared" si="25"/>
        <v>8801.9762843759727</v>
      </c>
      <c r="P52" s="67">
        <f t="shared" si="25"/>
        <v>10098.691751419346</v>
      </c>
      <c r="Q52" s="67">
        <f t="shared" si="25"/>
        <v>11458.289820097451</v>
      </c>
      <c r="R52" s="67">
        <f t="shared" si="25"/>
        <v>12869.44315307877</v>
      </c>
      <c r="S52" s="67">
        <f t="shared" si="25"/>
        <v>14318.389564820351</v>
      </c>
      <c r="U52" s="94">
        <f>(I52/E52)^(1/YEARFRAC(E$39,I$39))-1</f>
        <v>0.25996971162530103</v>
      </c>
      <c r="V52" s="94">
        <f>(S52/I52)^(1/YEARFRAC(I$39,S$39))-1</f>
        <v>0.17512249491525722</v>
      </c>
    </row>
    <row r="53" spans="2:22" x14ac:dyDescent="0.45">
      <c r="B53" s="2"/>
      <c r="C53" s="65" t="s">
        <v>114</v>
      </c>
      <c r="D53" s="8" t="s">
        <v>3</v>
      </c>
      <c r="E53" s="78">
        <f>E54-E52</f>
        <v>-34.597099999999955</v>
      </c>
      <c r="F53" s="78">
        <f>F54-F52</f>
        <v>-56.22792000000004</v>
      </c>
      <c r="G53" s="78">
        <f t="shared" ref="G53:I53" si="26">G54-G52</f>
        <v>-148.81474000000026</v>
      </c>
      <c r="H53" s="78">
        <f t="shared" si="26"/>
        <v>-216.44351999999981</v>
      </c>
      <c r="I53" s="78">
        <f t="shared" si="26"/>
        <v>-98.34940000000006</v>
      </c>
      <c r="J53" s="78">
        <f t="shared" ref="J53:S53" si="27">J60*J52</f>
        <v>-202.61823214564171</v>
      </c>
      <c r="K53" s="78">
        <f t="shared" si="27"/>
        <v>-246.93052701982094</v>
      </c>
      <c r="L53" s="78">
        <f t="shared" si="27"/>
        <v>-297.66276935195555</v>
      </c>
      <c r="M53" s="78">
        <f t="shared" si="27"/>
        <v>-354.86772583348062</v>
      </c>
      <c r="N53" s="78">
        <f t="shared" si="27"/>
        <v>-418.31674080151004</v>
      </c>
      <c r="O53" s="78">
        <f t="shared" si="27"/>
        <v>-487.47628437597655</v>
      </c>
      <c r="P53" s="78">
        <f t="shared" si="27"/>
        <v>-559.29175141935059</v>
      </c>
      <c r="Q53" s="78">
        <f t="shared" si="27"/>
        <v>-634.58982009745137</v>
      </c>
      <c r="R53" s="78">
        <f t="shared" si="27"/>
        <v>-712.74315307877043</v>
      </c>
      <c r="S53" s="78">
        <f t="shared" si="27"/>
        <v>-792.98956482035408</v>
      </c>
    </row>
    <row r="54" spans="2:22" x14ac:dyDescent="0.45">
      <c r="B54" s="2"/>
      <c r="C54" s="9" t="s">
        <v>4</v>
      </c>
      <c r="D54" s="12" t="s">
        <v>3</v>
      </c>
      <c r="E54" s="77">
        <v>1096.819</v>
      </c>
      <c r="F54" s="77">
        <v>1399.884</v>
      </c>
      <c r="G54" s="77">
        <v>1713.7669999999998</v>
      </c>
      <c r="H54" s="77">
        <v>2102.652</v>
      </c>
      <c r="I54" s="77">
        <v>2753.0810000000001</v>
      </c>
      <c r="J54" s="82">
        <f>SUM(J52:J53)</f>
        <v>3455.8999999999996</v>
      </c>
      <c r="K54" s="82">
        <f t="shared" ref="K54:S54" si="28">SUM(K52:K53)</f>
        <v>4211.7</v>
      </c>
      <c r="L54" s="82">
        <f t="shared" si="28"/>
        <v>5077</v>
      </c>
      <c r="M54" s="82">
        <f t="shared" si="28"/>
        <v>6052.7</v>
      </c>
      <c r="N54" s="82">
        <f t="shared" si="28"/>
        <v>7134.8999999999978</v>
      </c>
      <c r="O54" s="82">
        <f t="shared" si="28"/>
        <v>8314.4999999999964</v>
      </c>
      <c r="P54" s="82">
        <f t="shared" si="28"/>
        <v>9539.399999999996</v>
      </c>
      <c r="Q54" s="82">
        <f t="shared" si="28"/>
        <v>10823.699999999999</v>
      </c>
      <c r="R54" s="82">
        <f t="shared" si="28"/>
        <v>12156.699999999999</v>
      </c>
      <c r="S54" s="82">
        <f t="shared" si="28"/>
        <v>13525.399999999996</v>
      </c>
      <c r="U54" s="94">
        <f>(I54/E54)^(1/YEARFRAC(E$39,I$39))-1</f>
        <v>0.25869644627855615</v>
      </c>
      <c r="V54" s="94">
        <f>(S54/I54)^(1/YEARFRAC(I$39,S$39))-1</f>
        <v>0.17255470280937035</v>
      </c>
    </row>
    <row r="55" spans="2:22" x14ac:dyDescent="0.45">
      <c r="B55" s="2"/>
      <c r="C55" s="97" t="s">
        <v>18</v>
      </c>
      <c r="D55" s="8" t="s">
        <v>2</v>
      </c>
      <c r="E55" s="154">
        <v>0.292199575871819</v>
      </c>
      <c r="F55" s="95">
        <f>F54/E54-1</f>
        <v>0.27631268240247486</v>
      </c>
      <c r="G55" s="95">
        <f t="shared" ref="G55" si="29">G54/F54-1</f>
        <v>0.2242207211454661</v>
      </c>
      <c r="H55" s="95">
        <f t="shared" ref="H55" si="30">H54/G54-1</f>
        <v>0.22691824501230351</v>
      </c>
      <c r="I55" s="95">
        <f t="shared" ref="I55" si="31">I54/H54-1</f>
        <v>0.30933744623456483</v>
      </c>
      <c r="J55" s="95">
        <f t="shared" ref="J55" si="32">J54/I54-1</f>
        <v>0.25528453394578632</v>
      </c>
      <c r="K55" s="95">
        <f t="shared" ref="K55" si="33">K54/J54-1</f>
        <v>0.21869845771000329</v>
      </c>
      <c r="L55" s="95">
        <f t="shared" ref="L55" si="34">L54/K54-1</f>
        <v>0.20545148039983863</v>
      </c>
      <c r="M55" s="95">
        <f t="shared" ref="M55" si="35">M54/L54-1</f>
        <v>0.19218042150876502</v>
      </c>
      <c r="N55" s="95">
        <f t="shared" ref="N55" si="36">N54/M54-1</f>
        <v>0.17879623969468139</v>
      </c>
      <c r="O55" s="95">
        <f t="shared" ref="O55" si="37">O54/N54-1</f>
        <v>0.16532817558760438</v>
      </c>
      <c r="P55" s="95">
        <f t="shared" ref="P55" si="38">P54/O54-1</f>
        <v>0.14732094533646034</v>
      </c>
      <c r="Q55" s="95">
        <f t="shared" ref="Q55" si="39">Q54/P54-1</f>
        <v>0.13463110887477225</v>
      </c>
      <c r="R55" s="95">
        <f t="shared" ref="R55" si="40">R54/Q54-1</f>
        <v>0.12315566765523811</v>
      </c>
      <c r="S55" s="95">
        <f t="shared" ref="S55" si="41">S54/R54-1</f>
        <v>0.1125881201312855</v>
      </c>
    </row>
    <row r="56" spans="2:22" x14ac:dyDescent="0.45">
      <c r="B56" s="2"/>
      <c r="C56" s="2"/>
      <c r="D56" s="2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</row>
    <row r="57" spans="2:22" x14ac:dyDescent="0.45">
      <c r="B57" s="2"/>
      <c r="C57" s="66" t="s">
        <v>21</v>
      </c>
      <c r="D57" s="8" t="s">
        <v>3</v>
      </c>
      <c r="E57" s="76">
        <v>-146.15101200000001</v>
      </c>
      <c r="F57" s="76">
        <v>-175.92972</v>
      </c>
      <c r="G57" s="76">
        <v>-202.505</v>
      </c>
      <c r="H57" s="76">
        <v>-230.40200000000002</v>
      </c>
      <c r="I57" s="76">
        <v>-444.46000000000004</v>
      </c>
      <c r="J57" s="83">
        <f t="shared" ref="J57:S57" si="42">-J54*(1-J62)</f>
        <v>-564.11999999999978</v>
      </c>
      <c r="K57" s="83">
        <f t="shared" si="42"/>
        <v>-689.54999999999939</v>
      </c>
      <c r="L57" s="83">
        <f t="shared" si="42"/>
        <v>-830.92999999999972</v>
      </c>
      <c r="M57" s="83">
        <f t="shared" si="42"/>
        <v>-988.75000000000011</v>
      </c>
      <c r="N57" s="83">
        <f t="shared" si="42"/>
        <v>-1166.5800000000004</v>
      </c>
      <c r="O57" s="83">
        <f t="shared" si="42"/>
        <v>-1359.7799999999997</v>
      </c>
      <c r="P57" s="83">
        <f t="shared" si="42"/>
        <v>-1555.8100000000002</v>
      </c>
      <c r="Q57" s="83">
        <f t="shared" si="42"/>
        <v>-1779.8400000000001</v>
      </c>
      <c r="R57" s="83">
        <f t="shared" si="42"/>
        <v>-2015.4099999999992</v>
      </c>
      <c r="S57" s="83">
        <f t="shared" si="42"/>
        <v>-2260.7999999999993</v>
      </c>
    </row>
    <row r="58" spans="2:22" x14ac:dyDescent="0.45">
      <c r="B58" s="2"/>
      <c r="C58" s="66" t="s">
        <v>54</v>
      </c>
      <c r="D58" s="8" t="s">
        <v>3</v>
      </c>
      <c r="E58" s="76">
        <v>-398.88998800000002</v>
      </c>
      <c r="F58" s="76">
        <v>-473.84427999999997</v>
      </c>
      <c r="G58" s="76">
        <v>-541.23500000000001</v>
      </c>
      <c r="H58" s="76">
        <v>-663.70799999999997</v>
      </c>
      <c r="I58" s="76">
        <v>-828.53599999999994</v>
      </c>
      <c r="J58" s="83">
        <f t="shared" ref="J58:S58" si="43">-J66*J49/Units</f>
        <v>-1059.8099918143078</v>
      </c>
      <c r="K58" s="83">
        <f t="shared" si="43"/>
        <v>-1290.1999876201164</v>
      </c>
      <c r="L58" s="83">
        <f t="shared" si="43"/>
        <v>-1555.039982889467</v>
      </c>
      <c r="M58" s="83">
        <f t="shared" si="43"/>
        <v>-1853.9799789828653</v>
      </c>
      <c r="N58" s="83">
        <f t="shared" si="43"/>
        <v>-2183.2299911747377</v>
      </c>
      <c r="O58" s="83">
        <f t="shared" si="43"/>
        <v>-2541.2699982130612</v>
      </c>
      <c r="P58" s="83">
        <f t="shared" si="43"/>
        <v>-2926.2104770636388</v>
      </c>
      <c r="Q58" s="83">
        <f t="shared" si="43"/>
        <v>-3335.0598224136893</v>
      </c>
      <c r="R58" s="83">
        <f t="shared" si="43"/>
        <v>-3796.1900052646974</v>
      </c>
      <c r="S58" s="83">
        <f t="shared" si="43"/>
        <v>-4280.7601341984873</v>
      </c>
    </row>
    <row r="59" spans="2:22" x14ac:dyDescent="0.45">
      <c r="B59" s="2"/>
      <c r="C59" s="2"/>
      <c r="D59" s="2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</row>
    <row r="60" spans="2:22" x14ac:dyDescent="0.45">
      <c r="B60" s="2"/>
      <c r="C60" s="66" t="s">
        <v>61</v>
      </c>
      <c r="D60" s="8" t="s">
        <v>2</v>
      </c>
      <c r="E60" s="19">
        <f>E53/E52</f>
        <v>-3.0578582008864784E-2</v>
      </c>
      <c r="F60" s="19">
        <f>F53/F52</f>
        <v>-3.8615108651813002E-2</v>
      </c>
      <c r="G60" s="19">
        <f>G53/G52</f>
        <v>-7.9897025083044276E-2</v>
      </c>
      <c r="H60" s="19">
        <f>H53/H52</f>
        <v>-9.3331006909107311E-2</v>
      </c>
      <c r="I60" s="19">
        <f>I53/I52</f>
        <v>-3.4491250426452652E-2</v>
      </c>
      <c r="J60" s="55">
        <f>AVERAGE(E60:I60)</f>
        <v>-5.5382594615856408E-2</v>
      </c>
      <c r="K60" s="55">
        <f>J60</f>
        <v>-5.5382594615856408E-2</v>
      </c>
      <c r="L60" s="55">
        <f t="shared" ref="L60" si="44">K60</f>
        <v>-5.5382594615856408E-2</v>
      </c>
      <c r="M60" s="55">
        <f t="shared" ref="M60" si="45">L60</f>
        <v>-5.5382594615856408E-2</v>
      </c>
      <c r="N60" s="55">
        <f t="shared" ref="N60" si="46">M60</f>
        <v>-5.5382594615856408E-2</v>
      </c>
      <c r="O60" s="55">
        <f t="shared" ref="O60" si="47">N60</f>
        <v>-5.5382594615856408E-2</v>
      </c>
      <c r="P60" s="55">
        <f t="shared" ref="P60" si="48">O60</f>
        <v>-5.5382594615856408E-2</v>
      </c>
      <c r="Q60" s="55">
        <f t="shared" ref="Q60" si="49">P60</f>
        <v>-5.5382594615856408E-2</v>
      </c>
      <c r="R60" s="55">
        <f t="shared" ref="R60" si="50">Q60</f>
        <v>-5.5382594615856408E-2</v>
      </c>
      <c r="S60" s="55">
        <f t="shared" ref="S60" si="51">R60</f>
        <v>-5.5382594615856408E-2</v>
      </c>
    </row>
    <row r="61" spans="2:22" x14ac:dyDescent="0.45">
      <c r="E61" s="75"/>
      <c r="F61" s="75"/>
      <c r="G61" s="75"/>
      <c r="H61" s="75"/>
      <c r="I61" s="75"/>
    </row>
    <row r="62" spans="2:22" x14ac:dyDescent="0.45">
      <c r="B62" s="2"/>
      <c r="C62" s="66" t="s">
        <v>15</v>
      </c>
      <c r="D62" s="8" t="s">
        <v>2</v>
      </c>
      <c r="E62" s="19">
        <f>(E54+E57)/E54</f>
        <v>0.86675010917936324</v>
      </c>
      <c r="F62" s="19">
        <f>(F54+F57)/F54</f>
        <v>0.87432550125581832</v>
      </c>
      <c r="G62" s="19">
        <f>(G54+G57)/G54</f>
        <v>0.88183632897587583</v>
      </c>
      <c r="H62" s="19">
        <f>(H54+H57)/H54</f>
        <v>0.8904231418228028</v>
      </c>
      <c r="I62" s="19">
        <f>(I54+I57)/I54</f>
        <v>0.83855905438307121</v>
      </c>
      <c r="J62" s="43">
        <v>0.83676611013050151</v>
      </c>
      <c r="K62" s="43">
        <v>0.83627751264335082</v>
      </c>
      <c r="L62" s="43">
        <v>0.83633444947803826</v>
      </c>
      <c r="M62" s="43">
        <v>0.83664315099046704</v>
      </c>
      <c r="N62" s="43">
        <v>0.83649665727620559</v>
      </c>
      <c r="O62" s="43">
        <v>0.83645679235071257</v>
      </c>
      <c r="P62" s="43">
        <v>0.8369069333501058</v>
      </c>
      <c r="Q62" s="43">
        <v>0.8355608525735192</v>
      </c>
      <c r="R62" s="43">
        <v>0.83421405480105626</v>
      </c>
      <c r="S62" s="43">
        <v>0.83284782705132565</v>
      </c>
    </row>
    <row r="63" spans="2:22" x14ac:dyDescent="0.45">
      <c r="B63" s="2"/>
      <c r="C63" s="66" t="s">
        <v>55</v>
      </c>
      <c r="D63" s="8" t="s">
        <v>56</v>
      </c>
      <c r="E63" s="75">
        <f t="shared" ref="E63:S63" si="52">E40*E62/E46</f>
        <v>3019.1795469747822</v>
      </c>
      <c r="F63" s="75">
        <f t="shared" si="52"/>
        <v>3362.2672887182084</v>
      </c>
      <c r="G63" s="75">
        <f t="shared" si="52"/>
        <v>3499.7322591375919</v>
      </c>
      <c r="H63" s="75">
        <f t="shared" si="52"/>
        <v>3897.1141003273738</v>
      </c>
      <c r="I63" s="75">
        <f t="shared" si="52"/>
        <v>3766.1599635450216</v>
      </c>
      <c r="J63" s="75">
        <f t="shared" si="52"/>
        <v>4422.1180702782667</v>
      </c>
      <c r="K63" s="75">
        <f t="shared" si="52"/>
        <v>4928.787003320128</v>
      </c>
      <c r="L63" s="75">
        <f t="shared" si="52"/>
        <v>5478.0760227913224</v>
      </c>
      <c r="M63" s="75">
        <f t="shared" si="52"/>
        <v>6068.7329185860654</v>
      </c>
      <c r="N63" s="75">
        <f t="shared" si="52"/>
        <v>6694.2840185081259</v>
      </c>
      <c r="O63" s="75">
        <f t="shared" si="52"/>
        <v>7356.4650400327246</v>
      </c>
      <c r="P63" s="75">
        <f t="shared" si="52"/>
        <v>8024.8470986031689</v>
      </c>
      <c r="Q63" s="75">
        <f t="shared" si="52"/>
        <v>8732.5263945748902</v>
      </c>
      <c r="R63" s="75">
        <f t="shared" si="52"/>
        <v>9531.2415903211022</v>
      </c>
      <c r="S63" s="75">
        <f t="shared" si="52"/>
        <v>10361.539437368887</v>
      </c>
    </row>
    <row r="64" spans="2:22" x14ac:dyDescent="0.45">
      <c r="B64" s="2"/>
      <c r="C64" s="66"/>
      <c r="D64" s="8"/>
      <c r="E64" s="79"/>
      <c r="F64" s="79"/>
      <c r="G64" s="79"/>
      <c r="H64" s="79"/>
      <c r="I64" s="79"/>
      <c r="J64" s="2"/>
      <c r="K64" s="2"/>
      <c r="L64" s="2"/>
      <c r="M64" s="2"/>
      <c r="N64" s="2"/>
      <c r="O64" s="16"/>
      <c r="P64" s="16"/>
      <c r="Q64" s="16"/>
      <c r="R64" s="16"/>
      <c r="S64" s="16"/>
    </row>
    <row r="65" spans="2:22" x14ac:dyDescent="0.45">
      <c r="B65" s="2"/>
      <c r="C65" s="66" t="s">
        <v>78</v>
      </c>
      <c r="D65" s="8" t="s">
        <v>22</v>
      </c>
      <c r="E65" s="80">
        <v>6.9</v>
      </c>
      <c r="F65" s="80">
        <v>6.5</v>
      </c>
      <c r="G65" s="80">
        <v>6.2</v>
      </c>
      <c r="H65" s="80">
        <v>5.7</v>
      </c>
      <c r="I65" s="80">
        <v>5.9</v>
      </c>
      <c r="J65" s="85">
        <v>4.2480390078813546</v>
      </c>
      <c r="K65" s="85">
        <v>4.0861027552168077</v>
      </c>
      <c r="L65" s="85">
        <v>3.9296135285556275</v>
      </c>
      <c r="M65" s="85">
        <v>3.7796633895397878</v>
      </c>
      <c r="N65" s="85">
        <v>3.6373422395313044</v>
      </c>
      <c r="O65" s="85">
        <v>3.5010766328954679</v>
      </c>
      <c r="P65" s="85">
        <v>3.3555461799572477</v>
      </c>
      <c r="Q65" s="85">
        <v>3.2160414460777229</v>
      </c>
      <c r="R65" s="85">
        <v>3.0732572911905951</v>
      </c>
      <c r="S65" s="85">
        <v>2.935217543375797</v>
      </c>
    </row>
    <row r="66" spans="2:22" x14ac:dyDescent="0.45">
      <c r="B66" s="2"/>
      <c r="C66" s="66" t="s">
        <v>58</v>
      </c>
      <c r="D66" s="8" t="s">
        <v>56</v>
      </c>
      <c r="E66" s="75">
        <f t="shared" ref="E66:S66" si="53">E63/E65</f>
        <v>437.562253184751</v>
      </c>
      <c r="F66" s="75">
        <f t="shared" si="53"/>
        <v>517.27189057203202</v>
      </c>
      <c r="G66" s="75">
        <f t="shared" si="53"/>
        <v>564.47294502219222</v>
      </c>
      <c r="H66" s="75">
        <f t="shared" si="53"/>
        <v>683.70422812760944</v>
      </c>
      <c r="I66" s="75">
        <f t="shared" si="53"/>
        <v>638.33219721102057</v>
      </c>
      <c r="J66" s="75">
        <f t="shared" si="53"/>
        <v>1040.9786873599664</v>
      </c>
      <c r="K66" s="75">
        <f t="shared" si="53"/>
        <v>1206.2317808888797</v>
      </c>
      <c r="L66" s="75">
        <f t="shared" si="53"/>
        <v>1394.049563139826</v>
      </c>
      <c r="M66" s="75">
        <f t="shared" si="53"/>
        <v>1605.6278808798884</v>
      </c>
      <c r="N66" s="75">
        <f t="shared" si="53"/>
        <v>1840.4328154093987</v>
      </c>
      <c r="O66" s="75">
        <f t="shared" si="53"/>
        <v>2101.2008051788243</v>
      </c>
      <c r="P66" s="75">
        <f t="shared" si="53"/>
        <v>2391.5174067744201</v>
      </c>
      <c r="Q66" s="75">
        <f t="shared" si="53"/>
        <v>2715.3028158965612</v>
      </c>
      <c r="R66" s="75">
        <f t="shared" si="53"/>
        <v>3101.3484024400223</v>
      </c>
      <c r="S66" s="75">
        <f t="shared" si="53"/>
        <v>3530.0754660426528</v>
      </c>
    </row>
    <row r="67" spans="2:22" x14ac:dyDescent="0.45">
      <c r="B67" s="2"/>
      <c r="C67" s="66"/>
      <c r="D67" s="8"/>
      <c r="E67" s="75"/>
      <c r="F67" s="75"/>
      <c r="G67" s="75"/>
      <c r="H67" s="75"/>
      <c r="I67" s="75"/>
      <c r="J67" s="75"/>
      <c r="K67" s="75"/>
      <c r="L67" s="2"/>
      <c r="M67" s="2"/>
      <c r="N67" s="2"/>
      <c r="O67" s="16"/>
      <c r="P67" s="16"/>
      <c r="Q67" s="16"/>
      <c r="R67" s="16"/>
      <c r="S67" s="16"/>
    </row>
    <row r="68" spans="2:22" x14ac:dyDescent="0.45">
      <c r="B68" s="4"/>
      <c r="C68" s="4"/>
      <c r="D68" s="4"/>
      <c r="E68" s="5" t="str">
        <f>$E$38</f>
        <v>Historical:</v>
      </c>
      <c r="F68" s="5"/>
      <c r="G68" s="5"/>
      <c r="H68" s="5"/>
      <c r="I68" s="5"/>
      <c r="J68" s="6" t="str">
        <f>$J$38</f>
        <v>Projected:</v>
      </c>
      <c r="K68" s="5"/>
      <c r="L68" s="5"/>
      <c r="M68" s="5"/>
      <c r="N68" s="5"/>
      <c r="O68" s="5"/>
      <c r="P68" s="5"/>
      <c r="Q68" s="5"/>
      <c r="R68" s="5"/>
      <c r="S68" s="5"/>
      <c r="U68" s="92" t="s">
        <v>79</v>
      </c>
      <c r="V68" s="93" t="s">
        <v>80</v>
      </c>
    </row>
    <row r="69" spans="2:22" x14ac:dyDescent="0.45">
      <c r="B69" s="10" t="s">
        <v>115</v>
      </c>
      <c r="C69" s="10"/>
      <c r="D69" s="11" t="str">
        <f>$D$39</f>
        <v>Units:</v>
      </c>
      <c r="E69" s="70">
        <f>$E$39</f>
        <v>44651</v>
      </c>
      <c r="F69" s="70">
        <f>$F$39</f>
        <v>45016</v>
      </c>
      <c r="G69" s="70">
        <f>$G$39</f>
        <v>45382</v>
      </c>
      <c r="H69" s="70">
        <f>$H$39</f>
        <v>45747</v>
      </c>
      <c r="I69" s="70">
        <f>$I$39</f>
        <v>46112</v>
      </c>
      <c r="J69" s="71">
        <f>$J$39</f>
        <v>46477</v>
      </c>
      <c r="K69" s="70">
        <f>$K$39</f>
        <v>46843</v>
      </c>
      <c r="L69" s="70">
        <f>$L$39</f>
        <v>47208</v>
      </c>
      <c r="M69" s="70">
        <f>$M$39</f>
        <v>47573</v>
      </c>
      <c r="N69" s="70">
        <f>$N$39</f>
        <v>47938</v>
      </c>
      <c r="O69" s="70">
        <f>$O$39</f>
        <v>48304</v>
      </c>
      <c r="P69" s="70">
        <f>$P$39</f>
        <v>48669</v>
      </c>
      <c r="Q69" s="70">
        <f>$Q$39</f>
        <v>49034</v>
      </c>
      <c r="R69" s="70">
        <f>$R$39</f>
        <v>49399</v>
      </c>
      <c r="S69" s="70">
        <f>$S$39</f>
        <v>49765</v>
      </c>
      <c r="U69" s="90" t="s">
        <v>81</v>
      </c>
      <c r="V69" s="91" t="s">
        <v>81</v>
      </c>
    </row>
    <row r="70" spans="2:22" outlineLevel="1" x14ac:dyDescent="0.45">
      <c r="B70" s="2"/>
      <c r="C70" s="2"/>
      <c r="D70" s="2"/>
      <c r="E70" s="2"/>
      <c r="F70" s="2"/>
      <c r="G70" s="15"/>
      <c r="H70" s="81"/>
      <c r="I70" s="81"/>
      <c r="J70" s="2"/>
      <c r="K70" s="2"/>
      <c r="L70" s="2"/>
      <c r="M70" s="2"/>
      <c r="N70" s="2"/>
      <c r="O70" s="16"/>
      <c r="P70" s="16"/>
      <c r="Q70" s="16"/>
      <c r="R70" s="16"/>
      <c r="S70" s="16"/>
    </row>
    <row r="71" spans="2:22" outlineLevel="1" x14ac:dyDescent="0.45">
      <c r="B71" s="2"/>
      <c r="C71" s="66" t="s">
        <v>83</v>
      </c>
      <c r="D71" s="8" t="s">
        <v>56</v>
      </c>
      <c r="E71" s="87">
        <f>-E99/E43*Units</f>
        <v>113.73402629165393</v>
      </c>
      <c r="F71" s="87">
        <f>-F99/F43*Units</f>
        <v>130.99385191125367</v>
      </c>
      <c r="G71" s="87">
        <f>-G99/G43*Units</f>
        <v>126.48629807692306</v>
      </c>
      <c r="H71" s="87">
        <f>-H99/H43*Units</f>
        <v>139.96397825101951</v>
      </c>
      <c r="I71" s="87">
        <f>-I99/I43*Units</f>
        <v>157.04416598192276</v>
      </c>
      <c r="J71" s="87">
        <f>I71*(1+J72)</f>
        <v>174.31902423993427</v>
      </c>
      <c r="K71" s="87">
        <f t="shared" ref="K71:S71" si="54">J71*(1+K72)</f>
        <v>192.13830227334978</v>
      </c>
      <c r="L71" s="87">
        <f t="shared" si="54"/>
        <v>210.28469748805506</v>
      </c>
      <c r="M71" s="87">
        <f t="shared" si="54"/>
        <v>228.50937127035317</v>
      </c>
      <c r="N71" s="87">
        <f t="shared" si="54"/>
        <v>246.53622167056989</v>
      </c>
      <c r="O71" s="87">
        <f t="shared" si="54"/>
        <v>264.06768632269933</v>
      </c>
      <c r="P71" s="87">
        <f t="shared" si="54"/>
        <v>280.79197312313693</v>
      </c>
      <c r="Q71" s="87">
        <f t="shared" si="54"/>
        <v>296.39152718553345</v>
      </c>
      <c r="R71" s="87">
        <f t="shared" si="54"/>
        <v>310.55245570662004</v>
      </c>
      <c r="S71" s="87">
        <f t="shared" si="54"/>
        <v>322.97455393488485</v>
      </c>
      <c r="U71" s="94">
        <f>(I71/E71)^(1/YEARFRAC(E$39,I$39))-1</f>
        <v>8.4008901286179327E-2</v>
      </c>
      <c r="V71" s="94">
        <f>(S71/I71)^(1/YEARFRAC(I$39,S$39))-1</f>
        <v>7.4767808541719605E-2</v>
      </c>
    </row>
    <row r="72" spans="2:22" outlineLevel="1" x14ac:dyDescent="0.45">
      <c r="B72" s="2"/>
      <c r="C72" s="65" t="s">
        <v>18</v>
      </c>
      <c r="D72" s="38" t="s">
        <v>2</v>
      </c>
      <c r="E72" s="160" t="str">
        <f t="shared" ref="E72" si="55">IFERROR(E71/D71-1,"N/A")</f>
        <v>N/A</v>
      </c>
      <c r="F72" s="19">
        <f>F71/E71-1</f>
        <v>0.1517560415503052</v>
      </c>
      <c r="G72" s="19">
        <f t="shared" ref="G72:H72" si="56">G71/F71-1</f>
        <v>-3.4410422844763811E-2</v>
      </c>
      <c r="H72" s="19">
        <f t="shared" si="56"/>
        <v>0.10655446778828126</v>
      </c>
      <c r="I72" s="19">
        <f t="shared" ref="I72" si="57">I71/H71-1</f>
        <v>0.12203273974015416</v>
      </c>
      <c r="J72" s="43">
        <v>0.11</v>
      </c>
      <c r="K72" s="43">
        <v>0.10222222222222221</v>
      </c>
      <c r="L72" s="43">
        <v>9.4444444444444442E-2</v>
      </c>
      <c r="M72" s="43">
        <v>8.6666666666666656E-2</v>
      </c>
      <c r="N72" s="43">
        <v>7.8888888888888883E-2</v>
      </c>
      <c r="O72" s="43">
        <v>7.1111111111111097E-2</v>
      </c>
      <c r="P72" s="43">
        <v>6.3333333333333325E-2</v>
      </c>
      <c r="Q72" s="43">
        <v>5.5555555555555539E-2</v>
      </c>
      <c r="R72" s="43">
        <v>4.7777777777777759E-2</v>
      </c>
      <c r="S72" s="43">
        <v>3.999999999999998E-2</v>
      </c>
    </row>
    <row r="73" spans="2:22" outlineLevel="1" x14ac:dyDescent="0.45">
      <c r="B73" s="2"/>
      <c r="C73" s="2"/>
      <c r="D73" s="2"/>
      <c r="E73" s="2"/>
      <c r="F73" s="2"/>
      <c r="G73" s="15"/>
      <c r="H73" s="15"/>
      <c r="I73" s="15"/>
      <c r="J73" s="2"/>
      <c r="K73" s="2"/>
      <c r="L73" s="2"/>
      <c r="M73" s="2"/>
      <c r="N73" s="2"/>
      <c r="O73" s="16"/>
      <c r="P73" s="16"/>
      <c r="Q73" s="16"/>
      <c r="R73" s="16"/>
      <c r="S73" s="16"/>
    </row>
    <row r="74" spans="2:22" outlineLevel="1" x14ac:dyDescent="0.45">
      <c r="B74" s="2"/>
      <c r="C74" s="66" t="s">
        <v>84</v>
      </c>
      <c r="D74" s="8" t="s">
        <v>56</v>
      </c>
      <c r="E74" s="88">
        <f>-E117/E43*Units</f>
        <v>62.778355243044942</v>
      </c>
      <c r="F74" s="88">
        <f>-F117/F43*Units</f>
        <v>70.167334937182574</v>
      </c>
      <c r="G74" s="88">
        <f>-G117/G43*Units</f>
        <v>54.563701923076927</v>
      </c>
      <c r="H74" s="88">
        <f>-H117/H43*Units</f>
        <v>61.820570910738553</v>
      </c>
      <c r="I74" s="88">
        <f>-I117/I43*Units</f>
        <v>83.36668036154478</v>
      </c>
      <c r="J74" s="88">
        <f>I74*(1+J75)</f>
        <v>90.036014790468371</v>
      </c>
      <c r="K74" s="88">
        <f t="shared" ref="K74" si="58">J74*(1+K75)</f>
        <v>96.838735907970431</v>
      </c>
      <c r="L74" s="88">
        <f t="shared" ref="L74" si="59">K74*(1+L75)</f>
        <v>103.72504601698166</v>
      </c>
      <c r="M74" s="88">
        <f t="shared" ref="M74" si="60">L74*(1+M75)</f>
        <v>110.64004908478044</v>
      </c>
      <c r="N74" s="88">
        <f t="shared" ref="N74" si="61">M74*(1+N75)</f>
        <v>117.52431880561122</v>
      </c>
      <c r="O74" s="88">
        <f t="shared" ref="O74" si="62">N74*(1+O75)</f>
        <v>124.31461278104652</v>
      </c>
      <c r="P74" s="88">
        <f t="shared" ref="P74" si="63">O74*(1+P75)</f>
        <v>130.94472546270234</v>
      </c>
      <c r="Q74" s="88">
        <f t="shared" ref="Q74" si="64">P74*(1+Q75)</f>
        <v>137.34646759643445</v>
      </c>
      <c r="R74" s="88">
        <f t="shared" ref="R74" si="65">Q74*(1+R75)</f>
        <v>143.45075504516487</v>
      </c>
      <c r="S74" s="88">
        <f t="shared" ref="S74" si="66">R74*(1+S75)</f>
        <v>149.18878524697146</v>
      </c>
      <c r="U74" s="94">
        <f>(I74/E74)^(1/YEARFRAC(E$39,I$39))-1</f>
        <v>7.3484168088234547E-2</v>
      </c>
      <c r="V74" s="94">
        <f>(S74/I74)^(1/YEARFRAC(I$39,S$39))-1</f>
        <v>5.9923123564884051E-2</v>
      </c>
    </row>
    <row r="75" spans="2:22" outlineLevel="1" x14ac:dyDescent="0.45">
      <c r="B75" s="2"/>
      <c r="C75" s="65" t="s">
        <v>18</v>
      </c>
      <c r="D75" s="38" t="s">
        <v>2</v>
      </c>
      <c r="E75" s="160" t="str">
        <f t="shared" ref="E75" si="67">IFERROR(E74/D74-1,"N/A")</f>
        <v>N/A</v>
      </c>
      <c r="F75" s="19">
        <f>F74/E74-1</f>
        <v>0.11769947883361032</v>
      </c>
      <c r="G75" s="19">
        <f t="shared" ref="G75" si="68">G74/F74-1</f>
        <v>-0.22237744996407272</v>
      </c>
      <c r="H75" s="19">
        <f t="shared" ref="H75" si="69">H74/G74-1</f>
        <v>0.13299810555178704</v>
      </c>
      <c r="I75" s="19">
        <f t="shared" ref="I75" si="70">I74/H74-1</f>
        <v>0.34852653628702668</v>
      </c>
      <c r="J75" s="43">
        <v>0.08</v>
      </c>
      <c r="K75" s="43">
        <v>7.5555555555555556E-2</v>
      </c>
      <c r="L75" s="43">
        <v>7.1111111111111125E-2</v>
      </c>
      <c r="M75" s="43">
        <v>6.666666666666668E-2</v>
      </c>
      <c r="N75" s="43">
        <v>6.2222222222222241E-2</v>
      </c>
      <c r="O75" s="43">
        <v>5.7777777777777803E-2</v>
      </c>
      <c r="P75" s="43">
        <v>5.3333333333333358E-2</v>
      </c>
      <c r="Q75" s="43">
        <v>4.8888888888888919E-2</v>
      </c>
      <c r="R75" s="43">
        <v>4.4444444444444481E-2</v>
      </c>
      <c r="S75" s="43">
        <v>4.0000000000000042E-2</v>
      </c>
    </row>
    <row r="76" spans="2:22" outlineLevel="1" x14ac:dyDescent="0.45">
      <c r="B76" s="2"/>
      <c r="C76" s="2"/>
      <c r="D76" s="2"/>
      <c r="E76" s="2"/>
      <c r="F76" s="2"/>
      <c r="G76" s="15"/>
      <c r="H76" s="15"/>
      <c r="I76" s="145"/>
      <c r="J76" s="145"/>
      <c r="K76" s="2"/>
      <c r="L76" s="2"/>
      <c r="M76" s="2"/>
      <c r="N76" s="2"/>
      <c r="O76" s="16"/>
      <c r="P76" s="16"/>
      <c r="Q76" s="16"/>
      <c r="R76" s="16"/>
      <c r="S76" s="16"/>
    </row>
    <row r="77" spans="2:22" outlineLevel="1" x14ac:dyDescent="0.45">
      <c r="B77" s="2"/>
      <c r="C77" s="66" t="s">
        <v>66</v>
      </c>
      <c r="D77" s="38" t="s">
        <v>2</v>
      </c>
      <c r="E77" s="19">
        <f>-E100/E$94</f>
        <v>0.15324041614888145</v>
      </c>
      <c r="F77" s="19">
        <f t="shared" ref="F77:H77" si="71">-F100/F$94</f>
        <v>0.10298853333561923</v>
      </c>
      <c r="G77" s="19">
        <f t="shared" si="71"/>
        <v>0.10802051854190216</v>
      </c>
      <c r="H77" s="19">
        <f t="shared" si="71"/>
        <v>0.10848109910722269</v>
      </c>
      <c r="I77" s="19">
        <f t="shared" ref="I77" si="72">-I100/I$94</f>
        <v>0.12672093556273861</v>
      </c>
      <c r="J77" s="43">
        <v>0.125</v>
      </c>
      <c r="K77" s="43">
        <v>0.122</v>
      </c>
      <c r="L77" s="43">
        <v>0.11899999999999999</v>
      </c>
      <c r="M77" s="43">
        <v>0.11600000000000001</v>
      </c>
      <c r="N77" s="43">
        <v>0.113</v>
      </c>
      <c r="O77" s="43">
        <v>0.11</v>
      </c>
      <c r="P77" s="43">
        <v>0.11</v>
      </c>
      <c r="Q77" s="43">
        <v>0.11</v>
      </c>
      <c r="R77" s="43">
        <v>0.11</v>
      </c>
      <c r="S77" s="43">
        <v>0.11</v>
      </c>
    </row>
    <row r="78" spans="2:22" outlineLevel="1" x14ac:dyDescent="0.45">
      <c r="B78" s="2"/>
      <c r="C78" s="66" t="s">
        <v>67</v>
      </c>
      <c r="D78" s="38" t="s">
        <v>2</v>
      </c>
      <c r="E78" s="19">
        <f t="shared" ref="E78:H78" si="73">-E101/E$94</f>
        <v>5.8560254700182985E-3</v>
      </c>
      <c r="F78" s="19">
        <f t="shared" si="73"/>
        <v>5.8254826828508643E-3</v>
      </c>
      <c r="G78" s="19">
        <f t="shared" si="73"/>
        <v>4.5957239227969737E-3</v>
      </c>
      <c r="H78" s="19">
        <f t="shared" si="73"/>
        <v>3.5892767799902215E-3</v>
      </c>
      <c r="I78" s="19">
        <f t="shared" ref="I78" si="74">-I101/I$94</f>
        <v>2.8742343577976819E-3</v>
      </c>
      <c r="J78" s="43">
        <v>3.0000000000000001E-3</v>
      </c>
      <c r="K78" s="55">
        <f>J78</f>
        <v>3.0000000000000001E-3</v>
      </c>
      <c r="L78" s="55">
        <f t="shared" ref="L78:S78" si="75">K78</f>
        <v>3.0000000000000001E-3</v>
      </c>
      <c r="M78" s="55">
        <f t="shared" si="75"/>
        <v>3.0000000000000001E-3</v>
      </c>
      <c r="N78" s="55">
        <f t="shared" si="75"/>
        <v>3.0000000000000001E-3</v>
      </c>
      <c r="O78" s="55">
        <f t="shared" si="75"/>
        <v>3.0000000000000001E-3</v>
      </c>
      <c r="P78" s="55">
        <f t="shared" si="75"/>
        <v>3.0000000000000001E-3</v>
      </c>
      <c r="Q78" s="55">
        <f t="shared" si="75"/>
        <v>3.0000000000000001E-3</v>
      </c>
      <c r="R78" s="55">
        <f t="shared" si="75"/>
        <v>3.0000000000000001E-3</v>
      </c>
      <c r="S78" s="55">
        <f t="shared" si="75"/>
        <v>3.0000000000000001E-3</v>
      </c>
    </row>
    <row r="79" spans="2:22" outlineLevel="1" x14ac:dyDescent="0.45">
      <c r="B79" s="2"/>
      <c r="C79" s="66" t="s">
        <v>74</v>
      </c>
      <c r="D79" s="38" t="s">
        <v>2</v>
      </c>
      <c r="E79" s="19">
        <f>-E115/E94</f>
        <v>1.2398581716764572E-2</v>
      </c>
      <c r="F79" s="19">
        <f t="shared" ref="F79:H79" si="76">-F115/F94</f>
        <v>1.1820265107680351E-2</v>
      </c>
      <c r="G79" s="19">
        <f t="shared" si="76"/>
        <v>1.0450662196202869E-2</v>
      </c>
      <c r="H79" s="19">
        <f t="shared" si="76"/>
        <v>9.0309761196812402E-3</v>
      </c>
      <c r="I79" s="19">
        <f t="shared" ref="I79" si="77">-I115/I94</f>
        <v>7.9645313741223012E-3</v>
      </c>
      <c r="J79" s="43">
        <v>8.0000000000000002E-3</v>
      </c>
      <c r="K79" s="55">
        <f t="shared" ref="K79:S79" si="78">J79</f>
        <v>8.0000000000000002E-3</v>
      </c>
      <c r="L79" s="55">
        <f t="shared" si="78"/>
        <v>8.0000000000000002E-3</v>
      </c>
      <c r="M79" s="55">
        <f t="shared" si="78"/>
        <v>8.0000000000000002E-3</v>
      </c>
      <c r="N79" s="55">
        <f t="shared" si="78"/>
        <v>8.0000000000000002E-3</v>
      </c>
      <c r="O79" s="55">
        <f t="shared" si="78"/>
        <v>8.0000000000000002E-3</v>
      </c>
      <c r="P79" s="55">
        <f t="shared" si="78"/>
        <v>8.0000000000000002E-3</v>
      </c>
      <c r="Q79" s="55">
        <f t="shared" si="78"/>
        <v>8.0000000000000002E-3</v>
      </c>
      <c r="R79" s="55">
        <f t="shared" si="78"/>
        <v>8.0000000000000002E-3</v>
      </c>
      <c r="S79" s="55">
        <f t="shared" si="78"/>
        <v>8.0000000000000002E-3</v>
      </c>
    </row>
    <row r="80" spans="2:22" outlineLevel="1" x14ac:dyDescent="0.45">
      <c r="B80" s="2"/>
      <c r="C80" s="2"/>
      <c r="D80" s="2"/>
      <c r="E80" s="2"/>
      <c r="F80" s="2"/>
      <c r="G80" s="15"/>
      <c r="H80" s="15"/>
      <c r="I80" s="15"/>
      <c r="J80" s="145"/>
      <c r="K80" s="2"/>
      <c r="L80" s="2"/>
      <c r="M80" s="2"/>
      <c r="N80" s="2"/>
      <c r="O80" s="16"/>
      <c r="P80" s="16"/>
      <c r="Q80" s="16"/>
      <c r="R80" s="16"/>
      <c r="S80" s="16"/>
    </row>
    <row r="81" spans="2:23" outlineLevel="1" x14ac:dyDescent="0.45">
      <c r="B81" s="2"/>
      <c r="C81" s="66" t="s">
        <v>68</v>
      </c>
      <c r="D81" s="38" t="s">
        <v>2</v>
      </c>
      <c r="E81" s="19">
        <f>E112/E94</f>
        <v>0.15562002481722145</v>
      </c>
      <c r="F81" s="19">
        <f t="shared" ref="F81:H81" si="79">F112/F94</f>
        <v>0.15586720042517807</v>
      </c>
      <c r="G81" s="19">
        <f t="shared" si="79"/>
        <v>0.15046561171967954</v>
      </c>
      <c r="H81" s="19">
        <f t="shared" si="79"/>
        <v>0.13447779280641781</v>
      </c>
      <c r="I81" s="19">
        <f t="shared" ref="I81" si="80">I112/I94</f>
        <v>0.13903404948855483</v>
      </c>
      <c r="J81" s="43">
        <v>0.13200000000000001</v>
      </c>
      <c r="K81" s="43">
        <v>0.13</v>
      </c>
      <c r="L81" s="43">
        <v>0.128</v>
      </c>
      <c r="M81" s="43">
        <v>0.126</v>
      </c>
      <c r="N81" s="43">
        <v>0.125</v>
      </c>
      <c r="O81" s="43">
        <v>0.125</v>
      </c>
      <c r="P81" s="43">
        <v>0.125</v>
      </c>
      <c r="Q81" s="43">
        <v>0.125</v>
      </c>
      <c r="R81" s="43">
        <v>0.125</v>
      </c>
      <c r="S81" s="43">
        <v>0.125</v>
      </c>
    </row>
    <row r="82" spans="2:23" outlineLevel="1" x14ac:dyDescent="0.45">
      <c r="B82" s="2"/>
      <c r="C82" s="66" t="s">
        <v>119</v>
      </c>
      <c r="D82" s="38" t="s">
        <v>2</v>
      </c>
      <c r="E82" s="19">
        <f>-(E117+E116)/E94</f>
        <v>0.20457067209813107</v>
      </c>
      <c r="F82" s="19">
        <f t="shared" ref="F82:S82" si="81">-(F117+F116)/F94</f>
        <v>0.19233593640615937</v>
      </c>
      <c r="G82" s="19">
        <f t="shared" si="81"/>
        <v>0.13629157289176419</v>
      </c>
      <c r="H82" s="19">
        <f t="shared" si="81"/>
        <v>0.13602393548718475</v>
      </c>
      <c r="I82" s="19">
        <f t="shared" si="81"/>
        <v>0.15082266013967624</v>
      </c>
      <c r="J82" s="19">
        <f t="shared" si="81"/>
        <v>0.13993919352703793</v>
      </c>
      <c r="K82" s="19">
        <f t="shared" si="81"/>
        <v>0.13171534045092628</v>
      </c>
      <c r="L82" s="19">
        <f t="shared" si="81"/>
        <v>0.12397408421355605</v>
      </c>
      <c r="M82" s="19">
        <f t="shared" si="81"/>
        <v>0.1166954822500353</v>
      </c>
      <c r="N82" s="19">
        <f t="shared" si="81"/>
        <v>0.10986760428851414</v>
      </c>
      <c r="O82" s="19">
        <f t="shared" si="81"/>
        <v>0.10347450628101669</v>
      </c>
      <c r="P82" s="19">
        <f t="shared" si="81"/>
        <v>9.7862607889257616E-2</v>
      </c>
      <c r="Q82" s="19">
        <f t="shared" si="81"/>
        <v>9.2587170934222751E-2</v>
      </c>
      <c r="R82" s="19">
        <f t="shared" si="81"/>
        <v>8.7631612009225687E-2</v>
      </c>
      <c r="S82" s="19">
        <f t="shared" si="81"/>
        <v>8.2916382488726001E-2</v>
      </c>
    </row>
    <row r="83" spans="2:23" outlineLevel="1" x14ac:dyDescent="0.45">
      <c r="B83" s="2"/>
      <c r="C83" s="65" t="s">
        <v>120</v>
      </c>
      <c r="D83" s="2"/>
      <c r="E83" s="2"/>
      <c r="F83" s="2"/>
      <c r="G83" s="15"/>
      <c r="H83" s="15"/>
      <c r="I83" s="15"/>
      <c r="J83" s="2"/>
      <c r="K83" s="2"/>
      <c r="L83" s="2"/>
      <c r="M83" s="2"/>
      <c r="N83" s="2"/>
      <c r="O83" s="16"/>
      <c r="P83" s="26"/>
      <c r="S83" s="47"/>
    </row>
    <row r="84" spans="2:23" outlineLevel="1" x14ac:dyDescent="0.45">
      <c r="B84" s="2"/>
      <c r="C84" s="66"/>
      <c r="D84" s="38"/>
      <c r="E84" s="19"/>
      <c r="F84" s="19"/>
      <c r="G84" s="19"/>
      <c r="H84" s="19"/>
      <c r="I84" s="19"/>
      <c r="J84" s="159"/>
      <c r="K84" s="159"/>
      <c r="L84" s="159"/>
      <c r="M84" s="159"/>
      <c r="N84" s="159"/>
      <c r="O84" s="159"/>
      <c r="P84" s="159"/>
      <c r="Q84" s="159"/>
      <c r="R84" s="159"/>
      <c r="S84" s="159"/>
    </row>
    <row r="85" spans="2:23" outlineLevel="1" x14ac:dyDescent="0.45">
      <c r="B85" s="2"/>
      <c r="C85" s="66" t="s">
        <v>69</v>
      </c>
      <c r="D85" s="38" t="s">
        <v>2</v>
      </c>
      <c r="E85" s="19">
        <f>E113/11.477</f>
        <v>-1.4800906160146379</v>
      </c>
      <c r="F85" s="19">
        <f>F113/37.855</f>
        <v>6.3373398494254399E-2</v>
      </c>
      <c r="G85" s="19">
        <f>G113/87.267</f>
        <v>0.70143353157550969</v>
      </c>
      <c r="H85" s="19">
        <f>H113/134.847</f>
        <v>0.46457095819706778</v>
      </c>
      <c r="I85" s="19">
        <f>I113/172.316</f>
        <v>-4.1783699714478047E-4</v>
      </c>
      <c r="J85" s="55">
        <f>AVERAGE(E85:I85)</f>
        <v>-5.0226112948990154E-2</v>
      </c>
      <c r="K85" s="55">
        <f>J85</f>
        <v>-5.0226112948990154E-2</v>
      </c>
      <c r="L85" s="55">
        <f t="shared" ref="L85:S85" si="82">K85</f>
        <v>-5.0226112948990154E-2</v>
      </c>
      <c r="M85" s="55">
        <f t="shared" si="82"/>
        <v>-5.0226112948990154E-2</v>
      </c>
      <c r="N85" s="55">
        <f t="shared" si="82"/>
        <v>-5.0226112948990154E-2</v>
      </c>
      <c r="O85" s="55">
        <f t="shared" si="82"/>
        <v>-5.0226112948990154E-2</v>
      </c>
      <c r="P85" s="55">
        <f t="shared" si="82"/>
        <v>-5.0226112948990154E-2</v>
      </c>
      <c r="Q85" s="55">
        <f t="shared" si="82"/>
        <v>-5.0226112948990154E-2</v>
      </c>
      <c r="R85" s="55">
        <f t="shared" si="82"/>
        <v>-5.0226112948990154E-2</v>
      </c>
      <c r="S85" s="55">
        <f t="shared" si="82"/>
        <v>-5.0226112948990154E-2</v>
      </c>
    </row>
    <row r="86" spans="2:23" outlineLevel="1" x14ac:dyDescent="0.45">
      <c r="B86" s="2"/>
      <c r="C86" s="66" t="s">
        <v>41</v>
      </c>
      <c r="D86" s="38" t="s">
        <v>2</v>
      </c>
      <c r="E86" s="147">
        <v>-1.8022812768376618E-2</v>
      </c>
      <c r="F86" s="19">
        <f>F114/(F94-E94)</f>
        <v>0.15886690973883488</v>
      </c>
      <c r="G86" s="19">
        <f t="shared" ref="G86:H86" si="83">G114/(G94-F94)</f>
        <v>-0.25142489398916168</v>
      </c>
      <c r="H86" s="19">
        <f t="shared" si="83"/>
        <v>-1.264126926983555E-2</v>
      </c>
      <c r="I86" s="19">
        <f t="shared" ref="I86" si="84">I114/(I94-H94)</f>
        <v>0.13107964128290711</v>
      </c>
      <c r="J86" s="55">
        <f t="shared" ref="J86" si="85">AVERAGE(E86:I86)</f>
        <v>1.5715149988736298E-3</v>
      </c>
      <c r="K86" s="55">
        <f t="shared" ref="K86:S86" si="86">J86</f>
        <v>1.5715149988736298E-3</v>
      </c>
      <c r="L86" s="55">
        <f t="shared" si="86"/>
        <v>1.5715149988736298E-3</v>
      </c>
      <c r="M86" s="55">
        <f t="shared" si="86"/>
        <v>1.5715149988736298E-3</v>
      </c>
      <c r="N86" s="55">
        <f t="shared" si="86"/>
        <v>1.5715149988736298E-3</v>
      </c>
      <c r="O86" s="55">
        <f t="shared" si="86"/>
        <v>1.5715149988736298E-3</v>
      </c>
      <c r="P86" s="55">
        <f t="shared" si="86"/>
        <v>1.5715149988736298E-3</v>
      </c>
      <c r="Q86" s="55">
        <f t="shared" si="86"/>
        <v>1.5715149988736298E-3</v>
      </c>
      <c r="R86" s="55">
        <f t="shared" si="86"/>
        <v>1.5715149988736298E-3</v>
      </c>
      <c r="S86" s="55">
        <f t="shared" si="86"/>
        <v>1.5715149988736298E-3</v>
      </c>
    </row>
    <row r="87" spans="2:23" outlineLevel="1" x14ac:dyDescent="0.45">
      <c r="B87" s="2"/>
      <c r="C87" s="66" t="s">
        <v>42</v>
      </c>
      <c r="D87" s="38" t="s">
        <v>2</v>
      </c>
      <c r="E87" s="19">
        <f>-E116/E94</f>
        <v>1.7349261819862714E-2</v>
      </c>
      <c r="F87" s="19">
        <f t="shared" ref="F87:H87" si="87">-F116/F94</f>
        <v>4.8232567841335425E-3</v>
      </c>
      <c r="G87" s="19">
        <f t="shared" si="87"/>
        <v>3.8435796698150916E-3</v>
      </c>
      <c r="H87" s="19">
        <f t="shared" si="87"/>
        <v>6.2468729965776551E-3</v>
      </c>
      <c r="I87" s="19">
        <f t="shared" ref="I87" si="88">-I116/I94</f>
        <v>3.413630038491421E-3</v>
      </c>
      <c r="J87" s="43">
        <v>4.0000000000000001E-3</v>
      </c>
      <c r="K87" s="55">
        <f t="shared" ref="K87:S87" si="89">J87</f>
        <v>4.0000000000000001E-3</v>
      </c>
      <c r="L87" s="55">
        <f t="shared" si="89"/>
        <v>4.0000000000000001E-3</v>
      </c>
      <c r="M87" s="55">
        <f t="shared" si="89"/>
        <v>4.0000000000000001E-3</v>
      </c>
      <c r="N87" s="55">
        <f t="shared" si="89"/>
        <v>4.0000000000000001E-3</v>
      </c>
      <c r="O87" s="55">
        <f t="shared" si="89"/>
        <v>4.0000000000000001E-3</v>
      </c>
      <c r="P87" s="55">
        <f t="shared" si="89"/>
        <v>4.0000000000000001E-3</v>
      </c>
      <c r="Q87" s="55">
        <f t="shared" si="89"/>
        <v>4.0000000000000001E-3</v>
      </c>
      <c r="R87" s="55">
        <f t="shared" si="89"/>
        <v>4.0000000000000001E-3</v>
      </c>
      <c r="S87" s="55">
        <f t="shared" si="89"/>
        <v>4.0000000000000001E-3</v>
      </c>
    </row>
    <row r="88" spans="2:23" outlineLevel="1" x14ac:dyDescent="0.45">
      <c r="B88" s="2"/>
      <c r="C88" s="2"/>
      <c r="D88" s="2"/>
      <c r="E88" s="2"/>
      <c r="F88" s="2"/>
      <c r="G88" s="15"/>
      <c r="H88" s="15"/>
      <c r="I88" s="145"/>
      <c r="J88" s="145"/>
      <c r="K88" s="2"/>
      <c r="L88" s="2"/>
      <c r="M88" s="2"/>
      <c r="N88" s="2"/>
      <c r="O88" s="16"/>
      <c r="P88" s="16"/>
      <c r="Q88" s="16"/>
      <c r="R88" s="16"/>
      <c r="S88" s="16"/>
    </row>
    <row r="89" spans="2:23" outlineLevel="1" x14ac:dyDescent="0.45">
      <c r="B89" s="2"/>
      <c r="C89" s="66" t="s">
        <v>72</v>
      </c>
      <c r="D89" s="38" t="s">
        <v>2</v>
      </c>
      <c r="E89" s="147">
        <v>6.5898177155782417E-2</v>
      </c>
      <c r="F89" s="19">
        <f>-F118/(F94-E94)</f>
        <v>5.47308333195849E-2</v>
      </c>
      <c r="G89" s="19">
        <f>-G118/(G94-F94)</f>
        <v>4.7654699362501343E-2</v>
      </c>
      <c r="H89" s="19">
        <f>-H118/(H94-G94)</f>
        <v>4.3874153027244539E-2</v>
      </c>
      <c r="I89" s="19">
        <f t="shared" ref="I89" si="90">-I118/(I94-H94)</f>
        <v>2.4945074712228388E-2</v>
      </c>
      <c r="J89" s="43">
        <v>3.5000000000000003E-2</v>
      </c>
      <c r="K89" s="43">
        <v>3.4000000000000002E-2</v>
      </c>
      <c r="L89" s="43">
        <v>3.3000000000000002E-2</v>
      </c>
      <c r="M89" s="43">
        <v>3.2000000000000001E-2</v>
      </c>
      <c r="N89" s="43">
        <v>3.1E-2</v>
      </c>
      <c r="O89" s="43">
        <v>0.03</v>
      </c>
      <c r="P89" s="43">
        <v>0.03</v>
      </c>
      <c r="Q89" s="43">
        <v>0.03</v>
      </c>
      <c r="R89" s="43">
        <v>0.03</v>
      </c>
      <c r="S89" s="43">
        <v>0.03</v>
      </c>
    </row>
    <row r="90" spans="2:23" x14ac:dyDescent="0.45">
      <c r="B90" s="2"/>
      <c r="C90" s="2"/>
      <c r="D90" s="2"/>
      <c r="E90" s="2"/>
      <c r="F90" s="2"/>
      <c r="G90" s="15"/>
      <c r="H90" s="15"/>
      <c r="I90" s="15"/>
      <c r="J90" s="2"/>
      <c r="K90" s="2"/>
      <c r="L90" s="2"/>
      <c r="M90" s="2"/>
      <c r="N90" s="2"/>
      <c r="O90" s="16"/>
      <c r="P90" s="26"/>
      <c r="S90" s="47"/>
    </row>
    <row r="91" spans="2:23" x14ac:dyDescent="0.45">
      <c r="B91" s="34"/>
      <c r="C91" s="34"/>
      <c r="D91" s="4"/>
      <c r="E91" s="5" t="str">
        <f>$E$38</f>
        <v>Historical:</v>
      </c>
      <c r="F91" s="5"/>
      <c r="G91" s="5"/>
      <c r="H91" s="5"/>
      <c r="I91" s="5"/>
      <c r="J91" s="6" t="str">
        <f>$J$38</f>
        <v>Projected:</v>
      </c>
      <c r="K91" s="5"/>
      <c r="L91" s="5"/>
      <c r="M91" s="5"/>
      <c r="N91" s="5"/>
      <c r="O91" s="5"/>
      <c r="P91" s="5"/>
      <c r="Q91" s="5"/>
      <c r="R91" s="5"/>
      <c r="S91" s="5"/>
      <c r="U91" s="92" t="s">
        <v>79</v>
      </c>
      <c r="V91" s="93" t="s">
        <v>80</v>
      </c>
    </row>
    <row r="92" spans="2:23" x14ac:dyDescent="0.45">
      <c r="B92" s="27" t="str">
        <f>Company_Name&amp;" - UFCF Projections:"</f>
        <v>Xero Limited - UFCF Projections:</v>
      </c>
      <c r="C92" s="27"/>
      <c r="D92" s="11" t="str">
        <f>$D$39</f>
        <v>Units:</v>
      </c>
      <c r="E92" s="70">
        <f>$E$39</f>
        <v>44651</v>
      </c>
      <c r="F92" s="70">
        <f>$F$39</f>
        <v>45016</v>
      </c>
      <c r="G92" s="70">
        <f>$G$39</f>
        <v>45382</v>
      </c>
      <c r="H92" s="70">
        <f>$H$39</f>
        <v>45747</v>
      </c>
      <c r="I92" s="70">
        <f>$I$39</f>
        <v>46112</v>
      </c>
      <c r="J92" s="71">
        <f>$J$39</f>
        <v>46477</v>
      </c>
      <c r="K92" s="70">
        <f>$K$39</f>
        <v>46843</v>
      </c>
      <c r="L92" s="70">
        <f>$L$39</f>
        <v>47208</v>
      </c>
      <c r="M92" s="70">
        <f>$M$39</f>
        <v>47573</v>
      </c>
      <c r="N92" s="70">
        <f>$N$39</f>
        <v>47938</v>
      </c>
      <c r="O92" s="70">
        <f>$O$39</f>
        <v>48304</v>
      </c>
      <c r="P92" s="70">
        <f>$P$39</f>
        <v>48669</v>
      </c>
      <c r="Q92" s="70">
        <f>$Q$39</f>
        <v>49034</v>
      </c>
      <c r="R92" s="70">
        <f>$R$39</f>
        <v>49399</v>
      </c>
      <c r="S92" s="70">
        <f>$S$39</f>
        <v>49765</v>
      </c>
      <c r="U92" s="90" t="s">
        <v>81</v>
      </c>
      <c r="V92" s="91" t="s">
        <v>81</v>
      </c>
      <c r="W92" s="66"/>
    </row>
    <row r="93" spans="2:23" outlineLevel="1" x14ac:dyDescent="0.45">
      <c r="W93" s="66"/>
    </row>
    <row r="94" spans="2:23" outlineLevel="1" x14ac:dyDescent="0.45">
      <c r="C94" s="31" t="s">
        <v>20</v>
      </c>
      <c r="D94" s="38" t="s">
        <v>3</v>
      </c>
      <c r="E94" s="54">
        <f>E54</f>
        <v>1096.819</v>
      </c>
      <c r="F94" s="54">
        <f t="shared" ref="F94:S94" si="91">F54</f>
        <v>1399.884</v>
      </c>
      <c r="G94" s="54">
        <f t="shared" si="91"/>
        <v>1713.7669999999998</v>
      </c>
      <c r="H94" s="54">
        <f t="shared" si="91"/>
        <v>2102.652</v>
      </c>
      <c r="I94" s="54">
        <f t="shared" si="91"/>
        <v>2753.0810000000001</v>
      </c>
      <c r="J94" s="54">
        <f t="shared" si="91"/>
        <v>3455.8999999999996</v>
      </c>
      <c r="K94" s="54">
        <f t="shared" si="91"/>
        <v>4211.7</v>
      </c>
      <c r="L94" s="54">
        <f t="shared" si="91"/>
        <v>5077</v>
      </c>
      <c r="M94" s="54">
        <f t="shared" si="91"/>
        <v>6052.7</v>
      </c>
      <c r="N94" s="54">
        <f t="shared" si="91"/>
        <v>7134.8999999999978</v>
      </c>
      <c r="O94" s="54">
        <f t="shared" si="91"/>
        <v>8314.4999999999964</v>
      </c>
      <c r="P94" s="54">
        <f t="shared" si="91"/>
        <v>9539.399999999996</v>
      </c>
      <c r="Q94" s="54">
        <f t="shared" si="91"/>
        <v>10823.699999999999</v>
      </c>
      <c r="R94" s="54">
        <f t="shared" si="91"/>
        <v>12156.699999999999</v>
      </c>
      <c r="S94" s="54">
        <f t="shared" si="91"/>
        <v>13525.399999999996</v>
      </c>
      <c r="U94" s="94">
        <f>(I94/E94)^(1/YEARFRAC(E$39,I$39))-1</f>
        <v>0.25869644627855615</v>
      </c>
      <c r="V94" s="94">
        <f>(S94/I94)^(1/YEARFRAC(I$39,S$39))-1</f>
        <v>0.17255470280937035</v>
      </c>
    </row>
    <row r="95" spans="2:23" outlineLevel="1" x14ac:dyDescent="0.45">
      <c r="C95" s="57" t="s">
        <v>18</v>
      </c>
      <c r="D95" s="38" t="s">
        <v>2</v>
      </c>
      <c r="E95" s="147">
        <v>0.292199575871819</v>
      </c>
      <c r="F95" s="95">
        <f>F94/E94-1</f>
        <v>0.27631268240247486</v>
      </c>
      <c r="G95" s="95">
        <f t="shared" ref="G95:I95" si="92">G94/F94-1</f>
        <v>0.2242207211454661</v>
      </c>
      <c r="H95" s="95">
        <f t="shared" si="92"/>
        <v>0.22691824501230351</v>
      </c>
      <c r="I95" s="95">
        <f t="shared" si="92"/>
        <v>0.30933744623456483</v>
      </c>
      <c r="J95" s="95">
        <f t="shared" ref="J95" si="93">J94/I94-1</f>
        <v>0.25528453394578632</v>
      </c>
      <c r="K95" s="95">
        <f t="shared" ref="K95" si="94">K94/J94-1</f>
        <v>0.21869845771000329</v>
      </c>
      <c r="L95" s="95">
        <f t="shared" ref="L95" si="95">L94/K94-1</f>
        <v>0.20545148039983863</v>
      </c>
      <c r="M95" s="95">
        <f t="shared" ref="M95" si="96">M94/L94-1</f>
        <v>0.19218042150876502</v>
      </c>
      <c r="N95" s="95">
        <f t="shared" ref="N95" si="97">N94/M94-1</f>
        <v>0.17879623969468139</v>
      </c>
      <c r="O95" s="95">
        <f t="shared" ref="O95" si="98">O94/N94-1</f>
        <v>0.16532817558760438</v>
      </c>
      <c r="P95" s="95">
        <f t="shared" ref="P95" si="99">P94/O94-1</f>
        <v>0.14732094533646034</v>
      </c>
      <c r="Q95" s="95">
        <f t="shared" ref="Q95" si="100">Q94/P94-1</f>
        <v>0.13463110887477225</v>
      </c>
      <c r="R95" s="95">
        <f t="shared" ref="R95" si="101">R94/Q94-1</f>
        <v>0.12315566765523811</v>
      </c>
      <c r="S95" s="95">
        <f t="shared" ref="S95" si="102">S94/R94-1</f>
        <v>0.1125881201312855</v>
      </c>
    </row>
    <row r="96" spans="2:23" outlineLevel="1" x14ac:dyDescent="0.45">
      <c r="E96" s="192"/>
      <c r="F96" s="192"/>
      <c r="G96" s="192"/>
      <c r="H96" s="192"/>
      <c r="I96" s="192"/>
      <c r="J96" s="192"/>
      <c r="K96" s="192"/>
      <c r="L96" s="192"/>
      <c r="M96" s="192"/>
      <c r="N96" s="192"/>
      <c r="O96" s="192"/>
      <c r="P96" s="192"/>
      <c r="Q96" s="192"/>
      <c r="R96" s="192"/>
      <c r="S96" s="192"/>
    </row>
    <row r="97" spans="3:22" outlineLevel="1" x14ac:dyDescent="0.45">
      <c r="C97" s="26" t="s">
        <v>12</v>
      </c>
      <c r="D97" s="38" t="s">
        <v>3</v>
      </c>
      <c r="E97" s="21">
        <f>E57</f>
        <v>-146.15101200000001</v>
      </c>
      <c r="F97" s="21">
        <f t="shared" ref="F97:S97" si="103">F57</f>
        <v>-175.92972</v>
      </c>
      <c r="G97" s="21">
        <f t="shared" si="103"/>
        <v>-202.505</v>
      </c>
      <c r="H97" s="21">
        <f t="shared" si="103"/>
        <v>-230.40200000000002</v>
      </c>
      <c r="I97" s="21">
        <f t="shared" si="103"/>
        <v>-444.46000000000004</v>
      </c>
      <c r="J97" s="21">
        <f t="shared" si="103"/>
        <v>-564.11999999999978</v>
      </c>
      <c r="K97" s="21">
        <f t="shared" si="103"/>
        <v>-689.54999999999939</v>
      </c>
      <c r="L97" s="21">
        <f t="shared" si="103"/>
        <v>-830.92999999999972</v>
      </c>
      <c r="M97" s="21">
        <f t="shared" si="103"/>
        <v>-988.75000000000011</v>
      </c>
      <c r="N97" s="21">
        <f t="shared" si="103"/>
        <v>-1166.5800000000004</v>
      </c>
      <c r="O97" s="21">
        <f t="shared" si="103"/>
        <v>-1359.7799999999997</v>
      </c>
      <c r="P97" s="21">
        <f t="shared" si="103"/>
        <v>-1555.8100000000002</v>
      </c>
      <c r="Q97" s="21">
        <f t="shared" si="103"/>
        <v>-1779.8400000000001</v>
      </c>
      <c r="R97" s="21">
        <f t="shared" si="103"/>
        <v>-2015.4099999999992</v>
      </c>
      <c r="S97" s="21">
        <f t="shared" si="103"/>
        <v>-2260.7999999999993</v>
      </c>
    </row>
    <row r="98" spans="3:22" outlineLevel="1" x14ac:dyDescent="0.45">
      <c r="C98" s="26" t="s">
        <v>13</v>
      </c>
      <c r="D98" s="38" t="s">
        <v>3</v>
      </c>
      <c r="E98" s="21">
        <f t="shared" ref="E98:S98" si="104">E58</f>
        <v>-398.88998800000002</v>
      </c>
      <c r="F98" s="21">
        <f t="shared" si="104"/>
        <v>-473.84427999999997</v>
      </c>
      <c r="G98" s="21">
        <f t="shared" si="104"/>
        <v>-541.23500000000001</v>
      </c>
      <c r="H98" s="21">
        <f t="shared" si="104"/>
        <v>-663.70799999999997</v>
      </c>
      <c r="I98" s="21">
        <f t="shared" si="104"/>
        <v>-828.53599999999994</v>
      </c>
      <c r="J98" s="21">
        <f t="shared" si="104"/>
        <v>-1059.8099918143078</v>
      </c>
      <c r="K98" s="21">
        <f t="shared" si="104"/>
        <v>-1290.1999876201164</v>
      </c>
      <c r="L98" s="21">
        <f t="shared" si="104"/>
        <v>-1555.039982889467</v>
      </c>
      <c r="M98" s="21">
        <f t="shared" si="104"/>
        <v>-1853.9799789828653</v>
      </c>
      <c r="N98" s="21">
        <f t="shared" si="104"/>
        <v>-2183.2299911747377</v>
      </c>
      <c r="O98" s="21">
        <f t="shared" si="104"/>
        <v>-2541.2699982130612</v>
      </c>
      <c r="P98" s="21">
        <f t="shared" si="104"/>
        <v>-2926.2104770636388</v>
      </c>
      <c r="Q98" s="21">
        <f t="shared" si="104"/>
        <v>-3335.0598224136893</v>
      </c>
      <c r="R98" s="21">
        <f t="shared" si="104"/>
        <v>-3796.1900052646974</v>
      </c>
      <c r="S98" s="21">
        <f t="shared" si="104"/>
        <v>-4280.7601341984873</v>
      </c>
    </row>
    <row r="99" spans="3:22" outlineLevel="1" x14ac:dyDescent="0.45">
      <c r="C99" s="26" t="s">
        <v>62</v>
      </c>
      <c r="D99" s="38" t="s">
        <v>3</v>
      </c>
      <c r="E99" s="32">
        <v>-372.024</v>
      </c>
      <c r="F99" s="32">
        <v>-490.048</v>
      </c>
      <c r="G99" s="32">
        <v>-526.18299999999999</v>
      </c>
      <c r="H99" s="32">
        <v>-617.80100000000004</v>
      </c>
      <c r="I99" s="32">
        <v>-764.49099999999999</v>
      </c>
      <c r="J99" s="21">
        <f t="shared" ref="J99:S99" si="105">-J71*J43/Units</f>
        <v>-909.56633697375901</v>
      </c>
      <c r="K99" s="21">
        <f t="shared" si="105"/>
        <v>-1067.2479553181076</v>
      </c>
      <c r="L99" s="21">
        <f t="shared" si="105"/>
        <v>-1234.8626095929126</v>
      </c>
      <c r="M99" s="21">
        <f t="shared" si="105"/>
        <v>-1408.7934077405614</v>
      </c>
      <c r="N99" s="21">
        <f t="shared" si="105"/>
        <v>-1584.5427811817419</v>
      </c>
      <c r="O99" s="21">
        <f t="shared" si="105"/>
        <v>-1756.8755896333953</v>
      </c>
      <c r="P99" s="21">
        <f t="shared" si="105"/>
        <v>-1920.0403494494617</v>
      </c>
      <c r="Q99" s="21">
        <f t="shared" si="105"/>
        <v>-2069.1637873232112</v>
      </c>
      <c r="R99" s="21">
        <f t="shared" si="105"/>
        <v>-2200.9911519802117</v>
      </c>
      <c r="S99" s="21">
        <f t="shared" si="105"/>
        <v>-2310.731135363751</v>
      </c>
    </row>
    <row r="100" spans="3:22" outlineLevel="1" x14ac:dyDescent="0.45">
      <c r="C100" s="26" t="s">
        <v>14</v>
      </c>
      <c r="D100" s="38" t="s">
        <v>3</v>
      </c>
      <c r="E100" s="32">
        <v>-168.077</v>
      </c>
      <c r="F100" s="32">
        <v>-144.172</v>
      </c>
      <c r="G100" s="32">
        <v>-185.12200000000001</v>
      </c>
      <c r="H100" s="32">
        <v>-228.09800000000001</v>
      </c>
      <c r="I100" s="32">
        <v>-348.87299999999999</v>
      </c>
      <c r="J100" s="21">
        <f t="shared" ref="J100:S100" si="106">-J$94*J77</f>
        <v>-431.98749999999995</v>
      </c>
      <c r="K100" s="21">
        <f t="shared" si="106"/>
        <v>-513.82740000000001</v>
      </c>
      <c r="L100" s="21">
        <f t="shared" si="106"/>
        <v>-604.16300000000001</v>
      </c>
      <c r="M100" s="21">
        <f t="shared" si="106"/>
        <v>-702.11320000000001</v>
      </c>
      <c r="N100" s="21">
        <f t="shared" si="106"/>
        <v>-806.24369999999976</v>
      </c>
      <c r="O100" s="21">
        <f t="shared" si="106"/>
        <v>-914.59499999999957</v>
      </c>
      <c r="P100" s="21">
        <f t="shared" si="106"/>
        <v>-1049.3339999999996</v>
      </c>
      <c r="Q100" s="21">
        <f t="shared" si="106"/>
        <v>-1190.607</v>
      </c>
      <c r="R100" s="21">
        <f t="shared" si="106"/>
        <v>-1337.2369999999999</v>
      </c>
      <c r="S100" s="21">
        <f t="shared" si="106"/>
        <v>-1487.7939999999996</v>
      </c>
    </row>
    <row r="101" spans="3:22" outlineLevel="1" x14ac:dyDescent="0.45">
      <c r="C101" s="26" t="s">
        <v>63</v>
      </c>
      <c r="D101" s="38" t="s">
        <v>3</v>
      </c>
      <c r="E101" s="32">
        <v>-6.423</v>
      </c>
      <c r="F101" s="32">
        <v>-8.1549999999999994</v>
      </c>
      <c r="G101" s="32">
        <v>-7.8760000000000003</v>
      </c>
      <c r="H101" s="32">
        <v>-7.5469999999999997</v>
      </c>
      <c r="I101" s="32">
        <v>-7.9130000000000003</v>
      </c>
      <c r="J101" s="21">
        <f t="shared" ref="J101:S101" si="107">-J$94*J78</f>
        <v>-10.367699999999999</v>
      </c>
      <c r="K101" s="21">
        <f t="shared" si="107"/>
        <v>-12.6351</v>
      </c>
      <c r="L101" s="21">
        <f t="shared" si="107"/>
        <v>-15.231</v>
      </c>
      <c r="M101" s="21">
        <f t="shared" si="107"/>
        <v>-18.158100000000001</v>
      </c>
      <c r="N101" s="21">
        <f t="shared" si="107"/>
        <v>-21.404699999999995</v>
      </c>
      <c r="O101" s="21">
        <f t="shared" si="107"/>
        <v>-24.94349999999999</v>
      </c>
      <c r="P101" s="21">
        <f t="shared" si="107"/>
        <v>-28.618199999999987</v>
      </c>
      <c r="Q101" s="21">
        <f t="shared" si="107"/>
        <v>-32.4711</v>
      </c>
      <c r="R101" s="21">
        <f t="shared" si="107"/>
        <v>-36.470099999999995</v>
      </c>
      <c r="S101" s="21">
        <f t="shared" si="107"/>
        <v>-40.576199999999986</v>
      </c>
    </row>
    <row r="102" spans="3:22" outlineLevel="1" x14ac:dyDescent="0.45"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</row>
    <row r="103" spans="3:22" outlineLevel="1" x14ac:dyDescent="0.45">
      <c r="C103" s="31" t="s">
        <v>64</v>
      </c>
      <c r="D103" s="38" t="s">
        <v>3</v>
      </c>
      <c r="E103" s="56">
        <f>E94+SUM(E97:E101)</f>
        <v>5.2539999999999054</v>
      </c>
      <c r="F103" s="56">
        <f t="shared" ref="F103:I103" si="108">F94+SUM(F97:F101)</f>
        <v>107.7349999999999</v>
      </c>
      <c r="G103" s="56">
        <f t="shared" si="108"/>
        <v>250.84599999999978</v>
      </c>
      <c r="H103" s="56">
        <f t="shared" si="108"/>
        <v>355.096</v>
      </c>
      <c r="I103" s="56">
        <f t="shared" si="108"/>
        <v>358.80799999999999</v>
      </c>
      <c r="J103" s="56">
        <f t="shared" ref="J103:S103" si="109">J94+SUM(J97:J101)</f>
        <v>480.04847121193325</v>
      </c>
      <c r="K103" s="56">
        <f t="shared" si="109"/>
        <v>638.23955706177594</v>
      </c>
      <c r="L103" s="56">
        <f t="shared" si="109"/>
        <v>836.77340751762131</v>
      </c>
      <c r="M103" s="56">
        <f t="shared" si="109"/>
        <v>1080.9053132765739</v>
      </c>
      <c r="N103" s="56">
        <f t="shared" si="109"/>
        <v>1372.8988276435175</v>
      </c>
      <c r="O103" s="56">
        <f t="shared" si="109"/>
        <v>1717.0359121535403</v>
      </c>
      <c r="P103" s="56">
        <f t="shared" si="109"/>
        <v>2059.3869734868949</v>
      </c>
      <c r="Q103" s="56">
        <f t="shared" si="109"/>
        <v>2416.5582902630977</v>
      </c>
      <c r="R103" s="56">
        <f t="shared" si="109"/>
        <v>2770.4017427550898</v>
      </c>
      <c r="S103" s="56">
        <f t="shared" si="109"/>
        <v>3144.7385304377585</v>
      </c>
      <c r="U103" s="94">
        <f>(I103/E103)^(1/YEARFRAC(E$39,I$39))-1</f>
        <v>1.87470319904148</v>
      </c>
      <c r="V103" s="94">
        <f>(S103/I103)^(1/YEARFRAC(I$39,S$39))-1</f>
        <v>0.24243089545544927</v>
      </c>
    </row>
    <row r="104" spans="3:22" outlineLevel="1" x14ac:dyDescent="0.45">
      <c r="C104" s="57" t="s">
        <v>27</v>
      </c>
      <c r="D104" s="38" t="s">
        <v>2</v>
      </c>
      <c r="E104" s="53">
        <f>E103/E94</f>
        <v>4.7902160702904539E-3</v>
      </c>
      <c r="F104" s="53">
        <f t="shared" ref="F104:J104" si="110">F103/F94</f>
        <v>7.6959948109986187E-2</v>
      </c>
      <c r="G104" s="53">
        <f t="shared" si="110"/>
        <v>0.14637112279557243</v>
      </c>
      <c r="H104" s="53">
        <f t="shared" si="110"/>
        <v>0.16888006194082519</v>
      </c>
      <c r="I104" s="53">
        <f t="shared" si="110"/>
        <v>0.13032961979687485</v>
      </c>
      <c r="J104" s="53">
        <f t="shared" si="110"/>
        <v>0.13890693342166535</v>
      </c>
      <c r="K104" s="53">
        <f t="shared" ref="K104" si="111">K103/K94</f>
        <v>0.15153965312386353</v>
      </c>
      <c r="L104" s="53">
        <f t="shared" ref="L104" si="112">L103/L94</f>
        <v>0.16481650729123917</v>
      </c>
      <c r="M104" s="53">
        <f t="shared" ref="M104" si="113">M103/M94</f>
        <v>0.17858233734970738</v>
      </c>
      <c r="N104" s="53">
        <f t="shared" ref="N104" si="114">N103/N94</f>
        <v>0.19242019196394033</v>
      </c>
      <c r="O104" s="53">
        <f t="shared" ref="O104" si="115">O103/O94</f>
        <v>0.20651102437350904</v>
      </c>
      <c r="P104" s="53">
        <f t="shared" ref="P104" si="116">P103/P94</f>
        <v>0.21588223300070192</v>
      </c>
      <c r="Q104" s="53">
        <f t="shared" ref="Q104" si="117">Q103/Q94</f>
        <v>0.22326545361226732</v>
      </c>
      <c r="R104" s="53">
        <f t="shared" ref="R104" si="118">R103/R94</f>
        <v>0.22789093608915989</v>
      </c>
      <c r="S104" s="53">
        <f t="shared" ref="S104" si="119">S103/S94</f>
        <v>0.23250613885265939</v>
      </c>
    </row>
    <row r="105" spans="3:22" outlineLevel="1" x14ac:dyDescent="0.45">
      <c r="C105" s="57" t="s">
        <v>18</v>
      </c>
      <c r="D105" s="38" t="s">
        <v>2</v>
      </c>
      <c r="E105" s="53"/>
      <c r="F105" s="53">
        <f>F103/E103-1</f>
        <v>19.505329272935256</v>
      </c>
      <c r="G105" s="53">
        <f t="shared" ref="G105:I105" si="120">G103/F103-1</f>
        <v>1.3283612567874878</v>
      </c>
      <c r="H105" s="53">
        <f t="shared" si="120"/>
        <v>0.4155936311521824</v>
      </c>
      <c r="I105" s="53">
        <f t="shared" si="120"/>
        <v>1.0453511163178275E-2</v>
      </c>
      <c r="J105" s="53">
        <f t="shared" ref="J105:S105" si="121">J103/I103-1</f>
        <v>0.33789790420484844</v>
      </c>
      <c r="K105" s="53">
        <f t="shared" si="121"/>
        <v>0.32953148554035083</v>
      </c>
      <c r="L105" s="53">
        <f t="shared" si="121"/>
        <v>0.31106478478053501</v>
      </c>
      <c r="M105" s="53">
        <f t="shared" si="121"/>
        <v>0.29175390083582631</v>
      </c>
      <c r="N105" s="53">
        <f t="shared" si="121"/>
        <v>0.27013792122255076</v>
      </c>
      <c r="O105" s="53">
        <f t="shared" si="121"/>
        <v>0.25066456288021555</v>
      </c>
      <c r="P105" s="53">
        <f t="shared" si="121"/>
        <v>0.19938491612791664</v>
      </c>
      <c r="Q105" s="53">
        <f t="shared" si="121"/>
        <v>0.1734357463529308</v>
      </c>
      <c r="R105" s="53">
        <f t="shared" si="121"/>
        <v>0.14642454681011152</v>
      </c>
      <c r="S105" s="53">
        <f t="shared" si="121"/>
        <v>0.1351200376124515</v>
      </c>
    </row>
    <row r="106" spans="3:22" outlineLevel="1" x14ac:dyDescent="0.45"/>
    <row r="107" spans="3:22" outlineLevel="1" x14ac:dyDescent="0.45">
      <c r="C107" s="26" t="s">
        <v>85</v>
      </c>
      <c r="D107" s="38" t="s">
        <v>3</v>
      </c>
      <c r="E107" s="21">
        <f t="shared" ref="E107:S107" si="122">-E103*Tax_Rate</f>
        <v>-1.8388999999999667</v>
      </c>
      <c r="F107" s="21">
        <f t="shared" si="122"/>
        <v>-37.707249999999959</v>
      </c>
      <c r="G107" s="21">
        <f t="shared" si="122"/>
        <v>-87.79609999999991</v>
      </c>
      <c r="H107" s="21">
        <f t="shared" si="122"/>
        <v>-124.28359999999999</v>
      </c>
      <c r="I107" s="21">
        <f t="shared" si="122"/>
        <v>-125.58279999999999</v>
      </c>
      <c r="J107" s="21">
        <f t="shared" si="122"/>
        <v>-168.01696492417662</v>
      </c>
      <c r="K107" s="21">
        <f t="shared" si="122"/>
        <v>-223.38384497162156</v>
      </c>
      <c r="L107" s="21">
        <f t="shared" si="122"/>
        <v>-292.87069263116746</v>
      </c>
      <c r="M107" s="21">
        <f t="shared" si="122"/>
        <v>-378.31685964680082</v>
      </c>
      <c r="N107" s="21">
        <f t="shared" si="122"/>
        <v>-480.51458967523109</v>
      </c>
      <c r="O107" s="21">
        <f t="shared" si="122"/>
        <v>-600.96256925373905</v>
      </c>
      <c r="P107" s="21">
        <f t="shared" si="122"/>
        <v>-720.78544072041313</v>
      </c>
      <c r="Q107" s="21">
        <f t="shared" si="122"/>
        <v>-845.79540159208409</v>
      </c>
      <c r="R107" s="21">
        <f t="shared" si="122"/>
        <v>-969.64060996428134</v>
      </c>
      <c r="S107" s="21">
        <f t="shared" si="122"/>
        <v>-1100.6584856532154</v>
      </c>
      <c r="V107" s="33"/>
    </row>
    <row r="108" spans="3:22" outlineLevel="1" x14ac:dyDescent="0.45"/>
    <row r="109" spans="3:22" outlineLevel="1" x14ac:dyDescent="0.45">
      <c r="C109" s="31" t="s">
        <v>43</v>
      </c>
      <c r="D109" s="38" t="s">
        <v>3</v>
      </c>
      <c r="E109" s="56">
        <f>E103+E107</f>
        <v>3.4150999999999385</v>
      </c>
      <c r="F109" s="56">
        <f t="shared" ref="F109:I109" si="123">F103+F107</f>
        <v>70.027749999999941</v>
      </c>
      <c r="G109" s="56">
        <f t="shared" si="123"/>
        <v>163.04989999999987</v>
      </c>
      <c r="H109" s="56">
        <f t="shared" si="123"/>
        <v>230.81240000000003</v>
      </c>
      <c r="I109" s="56">
        <f t="shared" si="123"/>
        <v>233.2252</v>
      </c>
      <c r="J109" s="56">
        <f t="shared" ref="J109:S109" si="124">J103+J107</f>
        <v>312.03150628775666</v>
      </c>
      <c r="K109" s="56">
        <f t="shared" si="124"/>
        <v>414.85571209015438</v>
      </c>
      <c r="L109" s="56">
        <f t="shared" si="124"/>
        <v>543.90271488645385</v>
      </c>
      <c r="M109" s="56">
        <f t="shared" si="124"/>
        <v>702.58845362977308</v>
      </c>
      <c r="N109" s="56">
        <f t="shared" si="124"/>
        <v>892.38423796828647</v>
      </c>
      <c r="O109" s="56">
        <f t="shared" si="124"/>
        <v>1116.0733428998012</v>
      </c>
      <c r="P109" s="56">
        <f t="shared" si="124"/>
        <v>1338.6015327664818</v>
      </c>
      <c r="Q109" s="56">
        <f t="shared" si="124"/>
        <v>1570.7628886710136</v>
      </c>
      <c r="R109" s="56">
        <f t="shared" si="124"/>
        <v>1800.7611327908085</v>
      </c>
      <c r="S109" s="56">
        <f t="shared" si="124"/>
        <v>2044.0800447845431</v>
      </c>
      <c r="U109" s="94">
        <f>(I109/E109)^(1/YEARFRAC(E$39,I$39))-1</f>
        <v>1.87470319904148</v>
      </c>
      <c r="V109" s="94">
        <f>(S109/I109)^(1/YEARFRAC(I$39,S$39))-1</f>
        <v>0.24243089545544927</v>
      </c>
    </row>
    <row r="110" spans="3:22" outlineLevel="1" x14ac:dyDescent="0.45"/>
    <row r="111" spans="3:22" outlineLevel="1" x14ac:dyDescent="0.45">
      <c r="C111" s="31" t="s">
        <v>100</v>
      </c>
    </row>
    <row r="112" spans="3:22" outlineLevel="1" x14ac:dyDescent="0.45">
      <c r="C112" s="26" t="s">
        <v>19</v>
      </c>
      <c r="D112" s="38" t="s">
        <v>3</v>
      </c>
      <c r="E112" s="32">
        <v>170.68700000000001</v>
      </c>
      <c r="F112" s="32">
        <v>218.196</v>
      </c>
      <c r="G112" s="32">
        <v>257.863</v>
      </c>
      <c r="H112" s="32">
        <v>282.76</v>
      </c>
      <c r="I112" s="32">
        <v>382.77200000000005</v>
      </c>
      <c r="J112" s="21">
        <f t="shared" ref="J112:S112" si="125">J94*J81</f>
        <v>456.17879999999997</v>
      </c>
      <c r="K112" s="21">
        <f t="shared" si="125"/>
        <v>547.52099999999996</v>
      </c>
      <c r="L112" s="21">
        <f t="shared" si="125"/>
        <v>649.85599999999999</v>
      </c>
      <c r="M112" s="21">
        <f t="shared" si="125"/>
        <v>762.64019999999994</v>
      </c>
      <c r="N112" s="21">
        <f t="shared" si="125"/>
        <v>891.86249999999973</v>
      </c>
      <c r="O112" s="21">
        <f t="shared" si="125"/>
        <v>1039.3124999999995</v>
      </c>
      <c r="P112" s="21">
        <f t="shared" si="125"/>
        <v>1192.4249999999995</v>
      </c>
      <c r="Q112" s="21">
        <f t="shared" si="125"/>
        <v>1352.9624999999999</v>
      </c>
      <c r="R112" s="21">
        <f t="shared" si="125"/>
        <v>1519.5874999999999</v>
      </c>
      <c r="S112" s="21">
        <f t="shared" si="125"/>
        <v>1690.6749999999995</v>
      </c>
    </row>
    <row r="113" spans="2:23" outlineLevel="1" x14ac:dyDescent="0.45">
      <c r="C113" s="26" t="s">
        <v>65</v>
      </c>
      <c r="D113" s="38" t="s">
        <v>3</v>
      </c>
      <c r="E113" s="32">
        <v>-16.986999999999998</v>
      </c>
      <c r="F113" s="32">
        <v>2.399</v>
      </c>
      <c r="G113" s="32">
        <v>61.212000000000003</v>
      </c>
      <c r="H113" s="32">
        <v>62.646000000000001</v>
      </c>
      <c r="I113" s="32">
        <v>-7.1999999999999995E-2</v>
      </c>
      <c r="J113" s="21">
        <f t="shared" ref="J113:S113" si="126">-J107*J85</f>
        <v>-8.4388390576282113</v>
      </c>
      <c r="K113" s="21">
        <f t="shared" si="126"/>
        <v>-11.219702228524371</v>
      </c>
      <c r="L113" s="21">
        <f t="shared" si="126"/>
        <v>-14.709756487541995</v>
      </c>
      <c r="M113" s="21">
        <f t="shared" si="126"/>
        <v>-19.001385323127472</v>
      </c>
      <c r="N113" s="21">
        <f t="shared" si="126"/>
        <v>-24.134380054665815</v>
      </c>
      <c r="O113" s="21">
        <f t="shared" si="126"/>
        <v>-30.184013881453616</v>
      </c>
      <c r="P113" s="21">
        <f t="shared" si="126"/>
        <v>-36.20225095761112</v>
      </c>
      <c r="Q113" s="21">
        <f t="shared" si="126"/>
        <v>-42.481015372100501</v>
      </c>
      <c r="R113" s="21">
        <f t="shared" si="126"/>
        <v>-48.701278795993701</v>
      </c>
      <c r="S113" s="21">
        <f t="shared" si="126"/>
        <v>-55.281797418682856</v>
      </c>
    </row>
    <row r="114" spans="2:23" outlineLevel="1" x14ac:dyDescent="0.45">
      <c r="C114" s="26" t="s">
        <v>44</v>
      </c>
      <c r="D114" s="38" t="s">
        <v>3</v>
      </c>
      <c r="E114" s="32">
        <v>-4.4700000000000006</v>
      </c>
      <c r="F114" s="32">
        <v>48.146999999999998</v>
      </c>
      <c r="G114" s="32">
        <v>-78.917999999999992</v>
      </c>
      <c r="H114" s="32">
        <v>-4.9160000000000004</v>
      </c>
      <c r="I114" s="32">
        <v>85.25800000000001</v>
      </c>
      <c r="J114" s="21">
        <f t="shared" ref="J114:S114" si="127">(J94-I94)*J86</f>
        <v>1.104490599993365</v>
      </c>
      <c r="K114" s="21">
        <f t="shared" si="127"/>
        <v>1.1877510361486898</v>
      </c>
      <c r="L114" s="21">
        <f t="shared" si="127"/>
        <v>1.3598319285253522</v>
      </c>
      <c r="M114" s="21">
        <f t="shared" si="127"/>
        <v>1.5333271844010004</v>
      </c>
      <c r="N114" s="21">
        <f t="shared" si="127"/>
        <v>1.700693531781039</v>
      </c>
      <c r="O114" s="21">
        <f t="shared" si="127"/>
        <v>1.8537590926713314</v>
      </c>
      <c r="P114" s="21">
        <f t="shared" si="127"/>
        <v>1.9249487221203085</v>
      </c>
      <c r="Q114" s="21">
        <f t="shared" si="127"/>
        <v>2.0182967130534073</v>
      </c>
      <c r="R114" s="21">
        <f t="shared" si="127"/>
        <v>2.0948294934985485</v>
      </c>
      <c r="S114" s="21">
        <f t="shared" si="127"/>
        <v>2.1509325789583325</v>
      </c>
    </row>
    <row r="115" spans="2:23" outlineLevel="1" x14ac:dyDescent="0.45">
      <c r="C115" s="26" t="s">
        <v>73</v>
      </c>
      <c r="D115" s="38" t="s">
        <v>3</v>
      </c>
      <c r="E115" s="32">
        <v>-13.599</v>
      </c>
      <c r="F115" s="32">
        <v>-16.547000000000001</v>
      </c>
      <c r="G115" s="32">
        <v>-17.91</v>
      </c>
      <c r="H115" s="32">
        <v>-18.989000000000001</v>
      </c>
      <c r="I115" s="32">
        <v>-21.927</v>
      </c>
      <c r="J115" s="21">
        <f t="shared" ref="J115:S115" si="128">-J94*J79</f>
        <v>-27.647199999999998</v>
      </c>
      <c r="K115" s="21">
        <f t="shared" si="128"/>
        <v>-33.693599999999996</v>
      </c>
      <c r="L115" s="21">
        <f t="shared" si="128"/>
        <v>-40.616</v>
      </c>
      <c r="M115" s="21">
        <f t="shared" si="128"/>
        <v>-48.421599999999998</v>
      </c>
      <c r="N115" s="21">
        <f t="shared" si="128"/>
        <v>-57.079199999999986</v>
      </c>
      <c r="O115" s="21">
        <f t="shared" si="128"/>
        <v>-66.515999999999977</v>
      </c>
      <c r="P115" s="21">
        <f t="shared" si="128"/>
        <v>-76.315199999999976</v>
      </c>
      <c r="Q115" s="21">
        <f t="shared" si="128"/>
        <v>-86.58959999999999</v>
      </c>
      <c r="R115" s="21">
        <f t="shared" si="128"/>
        <v>-97.253599999999992</v>
      </c>
      <c r="S115" s="21">
        <f t="shared" si="128"/>
        <v>-108.20319999999997</v>
      </c>
    </row>
    <row r="116" spans="2:23" outlineLevel="1" x14ac:dyDescent="0.45">
      <c r="C116" s="26" t="s">
        <v>45</v>
      </c>
      <c r="D116" s="38" t="s">
        <v>3</v>
      </c>
      <c r="E116" s="32">
        <v>-19.029</v>
      </c>
      <c r="F116" s="32">
        <v>-6.7519999999999998</v>
      </c>
      <c r="G116" s="32">
        <v>-6.5869999999999997</v>
      </c>
      <c r="H116" s="32">
        <v>-13.135</v>
      </c>
      <c r="I116" s="32">
        <v>-9.3979999999999997</v>
      </c>
      <c r="J116" s="21">
        <f t="shared" ref="J116:S116" si="129">-J94*J87</f>
        <v>-13.823599999999999</v>
      </c>
      <c r="K116" s="21">
        <f t="shared" si="129"/>
        <v>-16.846799999999998</v>
      </c>
      <c r="L116" s="21">
        <f t="shared" si="129"/>
        <v>-20.308</v>
      </c>
      <c r="M116" s="21">
        <f t="shared" si="129"/>
        <v>-24.210799999999999</v>
      </c>
      <c r="N116" s="21">
        <f t="shared" si="129"/>
        <v>-28.539599999999993</v>
      </c>
      <c r="O116" s="21">
        <f t="shared" si="129"/>
        <v>-33.257999999999988</v>
      </c>
      <c r="P116" s="21">
        <f t="shared" si="129"/>
        <v>-38.157599999999988</v>
      </c>
      <c r="Q116" s="21">
        <f t="shared" si="129"/>
        <v>-43.294799999999995</v>
      </c>
      <c r="R116" s="21">
        <f t="shared" si="129"/>
        <v>-48.626799999999996</v>
      </c>
      <c r="S116" s="21">
        <f t="shared" si="129"/>
        <v>-54.101599999999983</v>
      </c>
    </row>
    <row r="117" spans="2:23" outlineLevel="1" x14ac:dyDescent="0.45">
      <c r="C117" s="26" t="s">
        <v>70</v>
      </c>
      <c r="D117" s="38" t="s">
        <v>3</v>
      </c>
      <c r="E117" s="32">
        <v>-205.34800000000001</v>
      </c>
      <c r="F117" s="32">
        <v>-262.49599999999998</v>
      </c>
      <c r="G117" s="32">
        <v>-226.98500000000001</v>
      </c>
      <c r="H117" s="32">
        <v>-272.87599999999998</v>
      </c>
      <c r="I117" s="32">
        <v>-405.82900000000001</v>
      </c>
      <c r="J117" s="21">
        <f t="shared" ref="J117:S117" si="130">-J74*J43/Units</f>
        <v>-469.79225891009031</v>
      </c>
      <c r="K117" s="21">
        <f t="shared" si="130"/>
        <v>-537.89869937716617</v>
      </c>
      <c r="L117" s="21">
        <f t="shared" si="130"/>
        <v>-609.10842555222405</v>
      </c>
      <c r="M117" s="21">
        <f t="shared" si="130"/>
        <v>-682.11194541478869</v>
      </c>
      <c r="N117" s="21">
        <f t="shared" si="130"/>
        <v>-755.3547698381193</v>
      </c>
      <c r="O117" s="21">
        <f t="shared" si="130"/>
        <v>-827.08078247351284</v>
      </c>
      <c r="P117" s="21">
        <f t="shared" si="130"/>
        <v>-895.39296169878367</v>
      </c>
      <c r="Q117" s="21">
        <f t="shared" si="130"/>
        <v>-958.84096204074672</v>
      </c>
      <c r="R117" s="21">
        <f t="shared" si="130"/>
        <v>-1016.6844177125538</v>
      </c>
      <c r="S117" s="21">
        <f t="shared" si="130"/>
        <v>-1067.3756397130144</v>
      </c>
    </row>
    <row r="118" spans="2:23" outlineLevel="1" x14ac:dyDescent="0.45">
      <c r="C118" s="26" t="s">
        <v>71</v>
      </c>
      <c r="D118" s="38" t="s">
        <v>3</v>
      </c>
      <c r="E118" s="32">
        <v>-16.344000000000001</v>
      </c>
      <c r="F118" s="32">
        <v>-16.587</v>
      </c>
      <c r="G118" s="32">
        <v>-14.958</v>
      </c>
      <c r="H118" s="32">
        <v>-17.062000000000001</v>
      </c>
      <c r="I118" s="32">
        <v>-16.225000000000001</v>
      </c>
      <c r="J118" s="21">
        <f t="shared" ref="J118:S118" si="131">-(J94-I94)*J89</f>
        <v>-24.598664999999986</v>
      </c>
      <c r="K118" s="21">
        <f t="shared" si="131"/>
        <v>-25.697200000000009</v>
      </c>
      <c r="L118" s="21">
        <f t="shared" si="131"/>
        <v>-28.554900000000007</v>
      </c>
      <c r="M118" s="21">
        <f t="shared" si="131"/>
        <v>-31.222399999999993</v>
      </c>
      <c r="N118" s="21">
        <f t="shared" si="131"/>
        <v>-33.548199999999937</v>
      </c>
      <c r="O118" s="21">
        <f t="shared" si="131"/>
        <v>-35.387999999999955</v>
      </c>
      <c r="P118" s="21">
        <f t="shared" si="131"/>
        <v>-36.746999999999986</v>
      </c>
      <c r="Q118" s="21">
        <f t="shared" si="131"/>
        <v>-38.529000000000089</v>
      </c>
      <c r="R118" s="21">
        <f t="shared" si="131"/>
        <v>-39.99</v>
      </c>
      <c r="S118" s="21">
        <f t="shared" si="131"/>
        <v>-41.060999999999915</v>
      </c>
    </row>
    <row r="119" spans="2:23" outlineLevel="1" x14ac:dyDescent="0.45"/>
    <row r="120" spans="2:23" outlineLevel="1" x14ac:dyDescent="0.45">
      <c r="C120" s="58" t="s">
        <v>46</v>
      </c>
      <c r="D120" s="59" t="s">
        <v>3</v>
      </c>
      <c r="E120" s="60">
        <f>E109+SUM(E112:E118)</f>
        <v>-101.67490000000004</v>
      </c>
      <c r="F120" s="60">
        <f t="shared" ref="F120:I120" si="132">F109+SUM(F112:F118)</f>
        <v>36.387749999999969</v>
      </c>
      <c r="G120" s="60">
        <f t="shared" si="132"/>
        <v>136.76689999999985</v>
      </c>
      <c r="H120" s="60">
        <f t="shared" si="132"/>
        <v>249.24040000000008</v>
      </c>
      <c r="I120" s="60">
        <f t="shared" si="132"/>
        <v>247.80420000000004</v>
      </c>
      <c r="J120" s="60">
        <f t="shared" ref="J120:S120" si="133">J109+SUM(J112:J118)</f>
        <v>225.01423392003147</v>
      </c>
      <c r="K120" s="60">
        <f t="shared" si="133"/>
        <v>338.2084615206125</v>
      </c>
      <c r="L120" s="60">
        <f t="shared" si="133"/>
        <v>481.82146477521314</v>
      </c>
      <c r="M120" s="60">
        <f t="shared" si="133"/>
        <v>661.79385007625785</v>
      </c>
      <c r="N120" s="60">
        <f t="shared" si="133"/>
        <v>887.29128160728214</v>
      </c>
      <c r="O120" s="60">
        <f t="shared" si="133"/>
        <v>1164.8128056375056</v>
      </c>
      <c r="P120" s="60">
        <f t="shared" si="133"/>
        <v>1450.1364688322067</v>
      </c>
      <c r="Q120" s="60">
        <f t="shared" si="133"/>
        <v>1756.0083079712197</v>
      </c>
      <c r="R120" s="60">
        <f t="shared" si="133"/>
        <v>2071.1873657757596</v>
      </c>
      <c r="S120" s="60">
        <f t="shared" si="133"/>
        <v>2410.8827402318038</v>
      </c>
      <c r="T120" s="61"/>
      <c r="U120" s="94" t="e">
        <f>(I120/E120)^(1/YEARFRAC(E$39,I$39))-1</f>
        <v>#NUM!</v>
      </c>
      <c r="V120" s="94">
        <f>(S120/I120)^(1/YEARFRAC(I$39,S$39))-1</f>
        <v>0.25547116492548283</v>
      </c>
      <c r="W120" s="61"/>
    </row>
    <row r="121" spans="2:23" outlineLevel="1" x14ac:dyDescent="0.45">
      <c r="C121" s="57" t="s">
        <v>18</v>
      </c>
      <c r="D121" s="38" t="s">
        <v>2</v>
      </c>
      <c r="E121" s="53"/>
      <c r="F121" s="53">
        <f>F120/E120-1</f>
        <v>-1.357883312400602</v>
      </c>
      <c r="G121" s="53">
        <f t="shared" ref="G121:J121" si="134">G120/F120-1</f>
        <v>2.7585973301454465</v>
      </c>
      <c r="H121" s="53">
        <f t="shared" si="134"/>
        <v>0.82237368837050751</v>
      </c>
      <c r="I121" s="53">
        <f t="shared" si="134"/>
        <v>-5.7623081972266732E-3</v>
      </c>
      <c r="J121" s="53">
        <f t="shared" si="134"/>
        <v>-9.1967634446746938E-2</v>
      </c>
      <c r="K121" s="53">
        <f t="shared" ref="K121" si="135">K120/J120-1</f>
        <v>0.50305363189072505</v>
      </c>
      <c r="L121" s="53">
        <f t="shared" ref="L121" si="136">L120/K120-1</f>
        <v>0.42462865242609538</v>
      </c>
      <c r="M121" s="53">
        <f t="shared" ref="M121" si="137">M120/L120-1</f>
        <v>0.37352504705245582</v>
      </c>
      <c r="N121" s="53">
        <f t="shared" ref="N121" si="138">N120/M120-1</f>
        <v>0.34073666823141435</v>
      </c>
      <c r="O121" s="53">
        <f t="shared" ref="O121" si="139">O120/N120-1</f>
        <v>0.31277386556476428</v>
      </c>
      <c r="P121" s="53">
        <f t="shared" ref="P121" si="140">P120/O120-1</f>
        <v>0.24495237502007261</v>
      </c>
      <c r="Q121" s="53">
        <f t="shared" ref="Q121" si="141">Q120/P120-1</f>
        <v>0.21092624433156359</v>
      </c>
      <c r="R121" s="53">
        <f t="shared" ref="R121" si="142">R120/Q120-1</f>
        <v>0.1794860857854812</v>
      </c>
      <c r="S121" s="53">
        <f t="shared" ref="S121" si="143">S120/R120-1</f>
        <v>0.16400996842157345</v>
      </c>
      <c r="T121" s="53"/>
      <c r="U121" s="53"/>
      <c r="V121" s="53"/>
      <c r="W121" s="53"/>
    </row>
    <row r="122" spans="2:23" outlineLevel="1" x14ac:dyDescent="0.45"/>
    <row r="123" spans="2:23" outlineLevel="1" x14ac:dyDescent="0.45">
      <c r="C123" s="62" t="s">
        <v>16</v>
      </c>
      <c r="D123" s="63" t="s">
        <v>3</v>
      </c>
      <c r="E123" s="64">
        <f>E103-E101+E112</f>
        <v>182.36399999999992</v>
      </c>
      <c r="F123" s="64">
        <f t="shared" ref="F123:I123" si="144">F103-F101+F112</f>
        <v>334.0859999999999</v>
      </c>
      <c r="G123" s="64">
        <f t="shared" si="144"/>
        <v>516.58499999999981</v>
      </c>
      <c r="H123" s="64">
        <f t="shared" si="144"/>
        <v>645.40300000000002</v>
      </c>
      <c r="I123" s="64">
        <f t="shared" si="144"/>
        <v>749.49300000000005</v>
      </c>
      <c r="J123" s="64">
        <f t="shared" ref="J123:S123" si="145">J103-J101+J112</f>
        <v>946.59497121193317</v>
      </c>
      <c r="K123" s="64">
        <f t="shared" si="145"/>
        <v>1198.3956570617759</v>
      </c>
      <c r="L123" s="64">
        <f t="shared" si="145"/>
        <v>1501.8604075176213</v>
      </c>
      <c r="M123" s="64">
        <f t="shared" si="145"/>
        <v>1861.7036132765738</v>
      </c>
      <c r="N123" s="64">
        <f t="shared" si="145"/>
        <v>2286.1660276435173</v>
      </c>
      <c r="O123" s="64">
        <f t="shared" si="145"/>
        <v>2781.2919121535397</v>
      </c>
      <c r="P123" s="64">
        <f t="shared" si="145"/>
        <v>3280.4301734868941</v>
      </c>
      <c r="Q123" s="64">
        <f t="shared" si="145"/>
        <v>3801.991890263098</v>
      </c>
      <c r="R123" s="64">
        <f t="shared" si="145"/>
        <v>4326.4593427550899</v>
      </c>
      <c r="S123" s="64">
        <f t="shared" si="145"/>
        <v>4875.9897304377582</v>
      </c>
      <c r="U123" s="94">
        <f>(I123/E123)^(1/YEARFRAC(E$39,I$39))-1</f>
        <v>0.42382665145372078</v>
      </c>
      <c r="V123" s="94">
        <f>(S123/I123)^(1/YEARFRAC(I$39,S$39))-1</f>
        <v>0.20595060608139559</v>
      </c>
    </row>
    <row r="124" spans="2:23" outlineLevel="1" x14ac:dyDescent="0.45">
      <c r="C124" s="57" t="s">
        <v>18</v>
      </c>
      <c r="D124" s="38" t="s">
        <v>2</v>
      </c>
      <c r="E124" s="53" t="str">
        <f t="shared" ref="E124:H124" si="146">IFERROR(E123/D123-1,"N/A")</f>
        <v>N/A</v>
      </c>
      <c r="F124" s="53">
        <f t="shared" si="146"/>
        <v>0.83197341580575146</v>
      </c>
      <c r="G124" s="53">
        <f t="shared" si="146"/>
        <v>0.54626353693360374</v>
      </c>
      <c r="H124" s="53">
        <f t="shared" si="146"/>
        <v>0.24936457698152337</v>
      </c>
      <c r="I124" s="53">
        <f t="shared" ref="I124:J124" si="147">IFERROR(I123/H123-1,"N/A")</f>
        <v>0.16127907679387921</v>
      </c>
      <c r="J124" s="53">
        <f t="shared" si="147"/>
        <v>0.26298040303502912</v>
      </c>
      <c r="K124" s="53">
        <f t="shared" ref="K124" si="148">IFERROR(K123/J123-1,"N/A")</f>
        <v>0.26600678590914151</v>
      </c>
      <c r="L124" s="53">
        <f t="shared" ref="L124" si="149">IFERROR(L123/K123-1,"N/A")</f>
        <v>0.25322584295730821</v>
      </c>
      <c r="M124" s="53">
        <f t="shared" ref="M124" si="150">IFERROR(M123/L123-1,"N/A")</f>
        <v>0.23959830351592148</v>
      </c>
      <c r="N124" s="53">
        <f t="shared" ref="N124" si="151">IFERROR(N123/M123-1,"N/A")</f>
        <v>0.22799677206399949</v>
      </c>
      <c r="O124" s="53">
        <f t="shared" ref="O124" si="152">IFERROR(O123/N123-1,"N/A")</f>
        <v>0.21657477126469993</v>
      </c>
      <c r="P124" s="53">
        <f t="shared" ref="P124" si="153">IFERROR(P123/O123-1,"N/A")</f>
        <v>0.17946273785655031</v>
      </c>
      <c r="Q124" s="53">
        <f t="shared" ref="Q124" si="154">IFERROR(Q123/P123-1,"N/A")</f>
        <v>0.15899186667394183</v>
      </c>
      <c r="R124" s="53">
        <f t="shared" ref="R124" si="155">IFERROR(R123/Q123-1,"N/A")</f>
        <v>0.13794544218654248</v>
      </c>
      <c r="S124" s="53">
        <f t="shared" ref="S124" si="156">IFERROR(S123/R123-1,"N/A")</f>
        <v>0.12701619133504383</v>
      </c>
    </row>
    <row r="125" spans="2:23" outlineLevel="1" x14ac:dyDescent="0.45">
      <c r="C125" s="57" t="s">
        <v>48</v>
      </c>
      <c r="D125" s="38" t="s">
        <v>2</v>
      </c>
      <c r="E125" s="53">
        <f t="shared" ref="E125:H125" si="157">E123/E94</f>
        <v>0.1662662663575302</v>
      </c>
      <c r="F125" s="53">
        <f t="shared" si="157"/>
        <v>0.23865263121801514</v>
      </c>
      <c r="G125" s="53">
        <f t="shared" si="157"/>
        <v>0.30143245843804894</v>
      </c>
      <c r="H125" s="53">
        <f t="shared" si="157"/>
        <v>0.30694713152723324</v>
      </c>
      <c r="I125" s="53">
        <f t="shared" ref="I125" si="158">I123/I94</f>
        <v>0.27223790364322736</v>
      </c>
      <c r="J125" s="53">
        <f t="shared" ref="J125:S125" si="159">J123/J94</f>
        <v>0.27390693342166533</v>
      </c>
      <c r="K125" s="53">
        <f t="shared" si="159"/>
        <v>0.28453965312386348</v>
      </c>
      <c r="L125" s="53">
        <f t="shared" si="159"/>
        <v>0.29581650729123915</v>
      </c>
      <c r="M125" s="53">
        <f t="shared" si="159"/>
        <v>0.30758233734970736</v>
      </c>
      <c r="N125" s="53">
        <f t="shared" si="159"/>
        <v>0.32042019196394034</v>
      </c>
      <c r="O125" s="53">
        <f t="shared" si="159"/>
        <v>0.33451102437350905</v>
      </c>
      <c r="P125" s="53">
        <f t="shared" si="159"/>
        <v>0.34388223300070186</v>
      </c>
      <c r="Q125" s="53">
        <f t="shared" si="159"/>
        <v>0.35126545361226735</v>
      </c>
      <c r="R125" s="53">
        <f t="shared" si="159"/>
        <v>0.35589093608915989</v>
      </c>
      <c r="S125" s="53">
        <f t="shared" si="159"/>
        <v>0.36050613885265942</v>
      </c>
    </row>
    <row r="126" spans="2:23" outlineLevel="1" x14ac:dyDescent="0.45">
      <c r="C126" s="57" t="s">
        <v>17</v>
      </c>
      <c r="D126" s="38" t="s">
        <v>2</v>
      </c>
      <c r="E126" s="53">
        <f t="shared" ref="E126:H126" si="160">E125+E95</f>
        <v>0.45846584222934916</v>
      </c>
      <c r="F126" s="53">
        <f t="shared" si="160"/>
        <v>0.51496531362049003</v>
      </c>
      <c r="G126" s="53">
        <f t="shared" si="160"/>
        <v>0.5256531795835151</v>
      </c>
      <c r="H126" s="53">
        <f t="shared" si="160"/>
        <v>0.5338653765395367</v>
      </c>
      <c r="I126" s="53">
        <f t="shared" ref="I126" si="161">I125+I95</f>
        <v>0.58157534987779225</v>
      </c>
      <c r="J126" s="53">
        <f t="shared" ref="J126:S126" si="162">J125+J95</f>
        <v>0.5291914673674516</v>
      </c>
      <c r="K126" s="53">
        <f t="shared" si="162"/>
        <v>0.50323811083386683</v>
      </c>
      <c r="L126" s="53">
        <f t="shared" si="162"/>
        <v>0.50126798769107772</v>
      </c>
      <c r="M126" s="53">
        <f t="shared" si="162"/>
        <v>0.49976275885847238</v>
      </c>
      <c r="N126" s="53">
        <f t="shared" si="162"/>
        <v>0.49921643165862173</v>
      </c>
      <c r="O126" s="53">
        <f t="shared" si="162"/>
        <v>0.49983919996111342</v>
      </c>
      <c r="P126" s="53">
        <f t="shared" si="162"/>
        <v>0.49120317833716221</v>
      </c>
      <c r="Q126" s="53">
        <f t="shared" si="162"/>
        <v>0.48589656248703961</v>
      </c>
      <c r="R126" s="53">
        <f t="shared" si="162"/>
        <v>0.479046603744398</v>
      </c>
      <c r="S126" s="53">
        <f t="shared" si="162"/>
        <v>0.47309425898394492</v>
      </c>
    </row>
    <row r="128" spans="2:23" x14ac:dyDescent="0.45">
      <c r="B128" s="27" t="s">
        <v>47</v>
      </c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30"/>
    </row>
    <row r="129" spans="3:10" outlineLevel="1" x14ac:dyDescent="0.45">
      <c r="D129" s="137"/>
    </row>
    <row r="130" spans="3:10" outlineLevel="1" x14ac:dyDescent="0.45">
      <c r="C130" s="121"/>
      <c r="D130" s="122"/>
      <c r="E130" s="123" t="s">
        <v>111</v>
      </c>
      <c r="F130" s="123"/>
      <c r="G130" s="124"/>
      <c r="H130" s="124"/>
      <c r="I130" s="125"/>
      <c r="J130" s="31"/>
    </row>
    <row r="131" spans="3:10" outlineLevel="1" x14ac:dyDescent="0.45">
      <c r="C131" s="126"/>
      <c r="D131" s="127">
        <f>$S$35</f>
        <v>107.75392438892376</v>
      </c>
      <c r="E131" s="128">
        <v>0</v>
      </c>
      <c r="F131" s="141">
        <f>E131+0.5%</f>
        <v>5.0000000000000001E-3</v>
      </c>
      <c r="G131" s="140">
        <f t="shared" ref="G131:I131" si="163">F131+0.5%</f>
        <v>0.01</v>
      </c>
      <c r="H131" s="141">
        <f t="shared" si="163"/>
        <v>1.4999999999999999E-2</v>
      </c>
      <c r="I131" s="151">
        <f t="shared" si="163"/>
        <v>0.02</v>
      </c>
      <c r="J131" s="149"/>
    </row>
    <row r="132" spans="3:10" outlineLevel="1" x14ac:dyDescent="0.45">
      <c r="C132" s="198" t="s">
        <v>99</v>
      </c>
      <c r="D132" s="153">
        <f>D133+0.5%</f>
        <v>9.8721624191775936E-2</v>
      </c>
      <c r="E132" s="129">
        <f t="dataTable" ref="E132:I136" dt2D="1" dtr="1" r1="S13" r2="E22"/>
        <v>88.524670602694712</v>
      </c>
      <c r="F132" s="130">
        <v>91.859664272542901</v>
      </c>
      <c r="G132" s="129">
        <v>95.57055206067723</v>
      </c>
      <c r="H132" s="130">
        <v>99.724681105053108</v>
      </c>
      <c r="I132" s="129">
        <v>104.40650874394167</v>
      </c>
      <c r="J132" s="134"/>
    </row>
    <row r="133" spans="3:10" outlineLevel="1" x14ac:dyDescent="0.45">
      <c r="C133" s="199"/>
      <c r="D133" s="153">
        <f>D134+0.5%</f>
        <v>9.3721624191775932E-2</v>
      </c>
      <c r="E133" s="131">
        <v>95.456873669264752</v>
      </c>
      <c r="F133" s="132">
        <v>99.323263875488379</v>
      </c>
      <c r="G133" s="131">
        <v>103.65146908393494</v>
      </c>
      <c r="H133" s="132">
        <v>108.52948576450035</v>
      </c>
      <c r="I133" s="131">
        <v>114.06918302170038</v>
      </c>
      <c r="J133" s="135"/>
    </row>
    <row r="134" spans="3:10" outlineLevel="1" x14ac:dyDescent="0.45">
      <c r="C134" s="199"/>
      <c r="D134" s="136">
        <v>8.8721624191775927E-2</v>
      </c>
      <c r="E134" s="132">
        <v>103.24350016321534</v>
      </c>
      <c r="F134" s="132">
        <v>107.75392438892376</v>
      </c>
      <c r="G134" s="132">
        <v>112.83730735017865</v>
      </c>
      <c r="H134" s="132">
        <v>118.61022788158135</v>
      </c>
      <c r="I134" s="132">
        <v>125.22319266387265</v>
      </c>
      <c r="J134" s="135"/>
    </row>
    <row r="135" spans="3:10" outlineLevel="1" x14ac:dyDescent="0.45">
      <c r="C135" s="199"/>
      <c r="D135" s="153">
        <f>D134-0.5%</f>
        <v>8.3721624191775923E-2</v>
      </c>
      <c r="E135" s="131">
        <v>112.04089534552975</v>
      </c>
      <c r="F135" s="132">
        <v>117.33929625624346</v>
      </c>
      <c r="G135" s="131">
        <v>123.35640093519356</v>
      </c>
      <c r="H135" s="132">
        <v>130.24908222481264</v>
      </c>
      <c r="I135" s="131">
        <v>138.22344989280697</v>
      </c>
      <c r="J135" s="135"/>
    </row>
    <row r="136" spans="3:10" outlineLevel="1" x14ac:dyDescent="0.45">
      <c r="C136" s="200"/>
      <c r="D136" s="144">
        <f t="shared" ref="D136" si="164">D135-0.5%</f>
        <v>7.8721624191775919E-2</v>
      </c>
      <c r="E136" s="131">
        <v>122.04529497049754</v>
      </c>
      <c r="F136" s="132">
        <v>128.31811398260788</v>
      </c>
      <c r="G136" s="131">
        <v>135.5037197755727</v>
      </c>
      <c r="H136" s="132">
        <v>143.8169813500881</v>
      </c>
      <c r="I136" s="131">
        <v>153.54594994717587</v>
      </c>
      <c r="J136" s="135"/>
    </row>
    <row r="137" spans="3:10" outlineLevel="1" x14ac:dyDescent="0.45"/>
    <row r="138" spans="3:10" outlineLevel="1" x14ac:dyDescent="0.45">
      <c r="C138" s="121"/>
      <c r="D138" s="122"/>
      <c r="E138" s="123" t="s">
        <v>112</v>
      </c>
      <c r="F138" s="123"/>
      <c r="G138" s="124"/>
      <c r="H138" s="124"/>
      <c r="I138" s="125"/>
      <c r="J138" s="31"/>
    </row>
    <row r="139" spans="3:10" outlineLevel="1" x14ac:dyDescent="0.45">
      <c r="C139" s="126"/>
      <c r="D139" s="127">
        <f>$N$35</f>
        <v>107.754114864629</v>
      </c>
      <c r="E139" s="138">
        <v>5.6</v>
      </c>
      <c r="F139" s="139">
        <f>E139+0.4</f>
        <v>6</v>
      </c>
      <c r="G139" s="133">
        <f t="shared" ref="G139:I139" si="165">F139+0.4</f>
        <v>6.4</v>
      </c>
      <c r="H139" s="139">
        <f t="shared" si="165"/>
        <v>6.8000000000000007</v>
      </c>
      <c r="I139" s="152">
        <f t="shared" si="165"/>
        <v>7.2000000000000011</v>
      </c>
      <c r="J139" s="150"/>
    </row>
    <row r="140" spans="3:10" outlineLevel="1" x14ac:dyDescent="0.45">
      <c r="C140" s="198" t="s">
        <v>99</v>
      </c>
      <c r="D140" s="142">
        <f>$D$132</f>
        <v>9.8721624191775936E-2</v>
      </c>
      <c r="E140" s="129">
        <f t="dataTable" ref="E140:I144" dt2D="1" dtr="1" r1="N13" r2="E22" ca="1"/>
        <v>95.244949634442477</v>
      </c>
      <c r="F140" s="130">
        <v>99.788926603111022</v>
      </c>
      <c r="G140" s="129">
        <v>104.33290357177951</v>
      </c>
      <c r="H140" s="130">
        <v>108.87688054044803</v>
      </c>
      <c r="I140" s="129">
        <v>113.42085750911652</v>
      </c>
      <c r="J140" s="130"/>
    </row>
    <row r="141" spans="3:10" outlineLevel="1" x14ac:dyDescent="0.45">
      <c r="C141" s="199"/>
      <c r="D141" s="142">
        <f>$D$133</f>
        <v>9.3721624191775932E-2</v>
      </c>
      <c r="E141" s="131">
        <v>99.313779564845788</v>
      </c>
      <c r="F141" s="132">
        <v>104.06981251436031</v>
      </c>
      <c r="G141" s="131">
        <v>108.82584546387481</v>
      </c>
      <c r="H141" s="132">
        <v>113.58187841338933</v>
      </c>
      <c r="I141" s="131">
        <v>118.33791136290384</v>
      </c>
      <c r="J141" s="132"/>
    </row>
    <row r="142" spans="3:10" outlineLevel="1" x14ac:dyDescent="0.45">
      <c r="C142" s="199"/>
      <c r="D142" s="143">
        <f>$D$134</f>
        <v>8.8721624191775927E-2</v>
      </c>
      <c r="E142" s="132">
        <v>103.58041836421449</v>
      </c>
      <c r="F142" s="132">
        <v>108.55944388491559</v>
      </c>
      <c r="G142" s="132">
        <v>113.53846940561668</v>
      </c>
      <c r="H142" s="132">
        <v>118.5174949263178</v>
      </c>
      <c r="I142" s="132">
        <v>123.49652044701887</v>
      </c>
      <c r="J142" s="132"/>
    </row>
    <row r="143" spans="3:10" outlineLevel="1" x14ac:dyDescent="0.45">
      <c r="C143" s="199"/>
      <c r="D143" s="142">
        <f>$D$135</f>
        <v>8.3721624191775923E-2</v>
      </c>
      <c r="E143" s="131">
        <v>108.05566388366599</v>
      </c>
      <c r="F143" s="132">
        <v>113.26923677543108</v>
      </c>
      <c r="G143" s="131">
        <v>118.48280966719619</v>
      </c>
      <c r="H143" s="132">
        <v>123.6963825589613</v>
      </c>
      <c r="I143" s="131">
        <v>128.90995545072641</v>
      </c>
      <c r="J143" s="132"/>
    </row>
    <row r="144" spans="3:10" outlineLevel="1" x14ac:dyDescent="0.45">
      <c r="C144" s="200"/>
      <c r="D144" s="144">
        <f>$D$136</f>
        <v>7.8721624191775919E-2</v>
      </c>
      <c r="E144" s="131">
        <v>112.75096310811236</v>
      </c>
      <c r="F144" s="132">
        <v>118.21129441635881</v>
      </c>
      <c r="G144" s="131">
        <v>123.67162572460528</v>
      </c>
      <c r="H144" s="132">
        <v>129.13195703285174</v>
      </c>
      <c r="I144" s="131">
        <v>134.5922883410982</v>
      </c>
      <c r="J144" s="132"/>
    </row>
    <row r="145" outlineLevel="1" x14ac:dyDescent="0.45"/>
  </sheetData>
  <mergeCells count="2">
    <mergeCell ref="C132:C136"/>
    <mergeCell ref="C140:C144"/>
  </mergeCells>
  <dataValidations disablePrompts="1" count="1">
    <dataValidation type="whole" showInputMessage="1" showErrorMessage="1" sqref="F6:G6" xr:uid="{F4F005F1-E763-4414-AE95-2B86054068B3}">
      <formula1>0</formula1>
      <formula2>1</formula2>
    </dataValidation>
  </dataValidations>
  <pageMargins left="0.75" right="0.75" top="1" bottom="1" header="0.5" footer="0.5"/>
  <pageSetup scale="26" orientation="portrait" horizontalDpi="200" verticalDpi="200" r:id="rId1"/>
  <headerFooter alignWithMargins="0"/>
  <rowBreaks count="2" manualBreakCount="2">
    <brk id="37" max="19" man="1"/>
    <brk id="90" max="19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6263B-84E9-4509-B299-633591D5FEDC}">
  <sheetPr>
    <pageSetUpPr autoPageBreaks="0"/>
  </sheetPr>
  <dimension ref="B2:J109"/>
  <sheetViews>
    <sheetView showGridLines="0" zoomScaleNormal="100" workbookViewId="0">
      <selection activeCell="B2" sqref="B2"/>
    </sheetView>
  </sheetViews>
  <sheetFormatPr defaultColWidth="9.15234375" defaultRowHeight="15.9" outlineLevelRow="1" x14ac:dyDescent="0.45"/>
  <cols>
    <col min="1" max="2" width="2.69140625" style="66" customWidth="1"/>
    <col min="3" max="3" width="54" style="66" bestFit="1" customWidth="1"/>
    <col min="4" max="5" width="17.3046875" style="66" customWidth="1"/>
    <col min="6" max="6" width="17.3046875" style="66" bestFit="1" customWidth="1"/>
    <col min="7" max="7" width="2.69140625" style="66" customWidth="1"/>
    <col min="8" max="16384" width="9.15234375" style="66"/>
  </cols>
  <sheetData>
    <row r="2" spans="2:7" ht="18.45" x14ac:dyDescent="0.5">
      <c r="B2" s="22" t="s">
        <v>191</v>
      </c>
    </row>
    <row r="3" spans="2:7" x14ac:dyDescent="0.45">
      <c r="B3" s="66" t="s">
        <v>122</v>
      </c>
    </row>
    <row r="5" spans="2:7" x14ac:dyDescent="0.45">
      <c r="B5" s="161" t="s">
        <v>123</v>
      </c>
      <c r="C5" s="162"/>
      <c r="D5" s="11" t="s">
        <v>1</v>
      </c>
      <c r="E5" s="162"/>
      <c r="F5" s="162"/>
      <c r="G5" s="163"/>
    </row>
    <row r="6" spans="2:7" outlineLevel="1" x14ac:dyDescent="0.45"/>
    <row r="7" spans="2:7" outlineLevel="1" x14ac:dyDescent="0.45">
      <c r="C7" s="66" t="s">
        <v>94</v>
      </c>
      <c r="D7" s="8" t="s">
        <v>95</v>
      </c>
      <c r="E7" s="167">
        <v>10</v>
      </c>
    </row>
    <row r="8" spans="2:7" outlineLevel="1" x14ac:dyDescent="0.45">
      <c r="C8" s="66" t="s">
        <v>124</v>
      </c>
      <c r="D8" s="8" t="s">
        <v>7</v>
      </c>
      <c r="E8" s="169">
        <v>100</v>
      </c>
    </row>
    <row r="9" spans="2:7" outlineLevel="1" x14ac:dyDescent="0.45"/>
    <row r="10" spans="2:7" outlineLevel="1" x14ac:dyDescent="0.45">
      <c r="C10" s="66" t="s">
        <v>125</v>
      </c>
      <c r="D10" s="8" t="s">
        <v>2</v>
      </c>
      <c r="E10" s="170">
        <v>0.25</v>
      </c>
    </row>
    <row r="11" spans="2:7" outlineLevel="1" x14ac:dyDescent="0.45"/>
    <row r="12" spans="2:7" outlineLevel="1" x14ac:dyDescent="0.45">
      <c r="C12" s="98" t="s">
        <v>127</v>
      </c>
      <c r="D12" s="99" t="s">
        <v>3</v>
      </c>
      <c r="E12" s="100">
        <f>Share_Price*Shares</f>
        <v>1000</v>
      </c>
      <c r="F12" s="100">
        <f>Share_Price*Shares</f>
        <v>1000</v>
      </c>
    </row>
    <row r="13" spans="2:7" outlineLevel="1" x14ac:dyDescent="0.45">
      <c r="C13" s="26" t="s">
        <v>87</v>
      </c>
      <c r="D13" s="8" t="s">
        <v>3</v>
      </c>
      <c r="E13" s="172">
        <f t="shared" ref="E13" si="0">-E51</f>
        <v>-346.25</v>
      </c>
      <c r="F13" s="172">
        <f>-F51</f>
        <v>-321.25</v>
      </c>
    </row>
    <row r="14" spans="2:7" outlineLevel="1" x14ac:dyDescent="0.45">
      <c r="C14" s="65" t="s">
        <v>128</v>
      </c>
      <c r="D14" s="8" t="s">
        <v>3</v>
      </c>
      <c r="E14" s="195">
        <v>0</v>
      </c>
      <c r="F14" s="171">
        <f>E14</f>
        <v>0</v>
      </c>
    </row>
    <row r="15" spans="2:7" outlineLevel="1" x14ac:dyDescent="0.45">
      <c r="C15" s="65" t="s">
        <v>89</v>
      </c>
      <c r="D15" s="8" t="s">
        <v>3</v>
      </c>
      <c r="E15" s="172">
        <f t="shared" ref="E15:E16" si="1">E72</f>
        <v>300</v>
      </c>
      <c r="F15" s="172">
        <f>F72</f>
        <v>300</v>
      </c>
    </row>
    <row r="16" spans="2:7" outlineLevel="1" x14ac:dyDescent="0.45">
      <c r="C16" s="65" t="s">
        <v>98</v>
      </c>
      <c r="D16" s="8" t="s">
        <v>3</v>
      </c>
      <c r="E16" s="172">
        <f t="shared" si="1"/>
        <v>150</v>
      </c>
      <c r="F16" s="172">
        <f>F73</f>
        <v>150</v>
      </c>
    </row>
    <row r="17" spans="2:6" outlineLevel="1" x14ac:dyDescent="0.45">
      <c r="C17" s="49" t="s">
        <v>129</v>
      </c>
      <c r="D17" s="103" t="s">
        <v>3</v>
      </c>
      <c r="E17" s="174">
        <f>SUM(E12:E16)</f>
        <v>1103.75</v>
      </c>
      <c r="F17" s="174">
        <f>SUM(F12:F16)</f>
        <v>1128.75</v>
      </c>
    </row>
    <row r="18" spans="2:6" outlineLevel="1" x14ac:dyDescent="0.45"/>
    <row r="19" spans="2:6" outlineLevel="1" x14ac:dyDescent="0.45">
      <c r="C19" s="201" t="s">
        <v>126</v>
      </c>
      <c r="D19" s="202" t="s">
        <v>22</v>
      </c>
      <c r="E19" s="203">
        <f>E17/E41</f>
        <v>7.3583333333333334</v>
      </c>
      <c r="F19" s="203">
        <f>F17/F41</f>
        <v>2.5083333333333333</v>
      </c>
    </row>
    <row r="20" spans="2:6" outlineLevel="1" x14ac:dyDescent="0.45">
      <c r="C20" s="201" t="s">
        <v>190</v>
      </c>
      <c r="D20" s="202" t="s">
        <v>22</v>
      </c>
      <c r="E20" s="203">
        <f>E17/E44</f>
        <v>7.3583333333333334</v>
      </c>
      <c r="F20" s="203">
        <f>F17/F44</f>
        <v>7.5250000000000004</v>
      </c>
    </row>
    <row r="22" spans="2:6" x14ac:dyDescent="0.45">
      <c r="B22" s="4"/>
      <c r="C22" s="4"/>
      <c r="D22" s="4"/>
      <c r="E22" s="165" t="s">
        <v>181</v>
      </c>
      <c r="F22" s="188" t="s">
        <v>180</v>
      </c>
    </row>
    <row r="23" spans="2:6" x14ac:dyDescent="0.45">
      <c r="B23" s="10" t="s">
        <v>130</v>
      </c>
      <c r="C23" s="10"/>
      <c r="D23" s="11" t="s">
        <v>1</v>
      </c>
      <c r="E23" s="166" t="s">
        <v>176</v>
      </c>
      <c r="F23" s="166" t="s">
        <v>176</v>
      </c>
    </row>
    <row r="24" spans="2:6" outlineLevel="1" x14ac:dyDescent="0.45"/>
    <row r="25" spans="2:6" outlineLevel="1" x14ac:dyDescent="0.45">
      <c r="C25" s="2" t="s">
        <v>20</v>
      </c>
      <c r="D25" s="8" t="s">
        <v>3</v>
      </c>
      <c r="E25" s="175">
        <v>1000</v>
      </c>
      <c r="F25" s="175">
        <v>1000</v>
      </c>
    </row>
    <row r="26" spans="2:6" outlineLevel="1" x14ac:dyDescent="0.45">
      <c r="C26" s="26" t="s">
        <v>12</v>
      </c>
      <c r="D26" s="8" t="s">
        <v>3</v>
      </c>
      <c r="E26" s="173">
        <v>-150</v>
      </c>
      <c r="F26" s="173">
        <v>-150</v>
      </c>
    </row>
    <row r="27" spans="2:6" outlineLevel="1" x14ac:dyDescent="0.45">
      <c r="C27" s="26" t="s">
        <v>13</v>
      </c>
      <c r="D27" s="8" t="s">
        <v>3</v>
      </c>
      <c r="E27" s="173">
        <v>-300</v>
      </c>
      <c r="F27" s="173">
        <v>-300</v>
      </c>
    </row>
    <row r="28" spans="2:6" outlineLevel="1" x14ac:dyDescent="0.45">
      <c r="C28" s="204" t="s">
        <v>177</v>
      </c>
      <c r="D28" s="202" t="s">
        <v>3</v>
      </c>
      <c r="E28" s="205">
        <v>-300</v>
      </c>
      <c r="F28" s="205">
        <v>0</v>
      </c>
    </row>
    <row r="29" spans="2:6" outlineLevel="1" x14ac:dyDescent="0.45">
      <c r="C29" s="204" t="s">
        <v>178</v>
      </c>
      <c r="D29" s="202" t="s">
        <v>3</v>
      </c>
      <c r="E29" s="205">
        <v>0</v>
      </c>
      <c r="F29" s="205">
        <v>-200</v>
      </c>
    </row>
    <row r="30" spans="2:6" outlineLevel="1" x14ac:dyDescent="0.45">
      <c r="C30" s="26" t="s">
        <v>179</v>
      </c>
      <c r="D30" s="8" t="s">
        <v>3</v>
      </c>
      <c r="E30" s="173">
        <v>-30</v>
      </c>
      <c r="F30" s="173">
        <v>-30</v>
      </c>
    </row>
    <row r="31" spans="2:6" outlineLevel="1" x14ac:dyDescent="0.45">
      <c r="C31" s="26" t="s">
        <v>14</v>
      </c>
      <c r="D31" s="8" t="s">
        <v>3</v>
      </c>
      <c r="E31" s="173">
        <v>-100</v>
      </c>
      <c r="F31" s="173">
        <v>-100</v>
      </c>
    </row>
    <row r="32" spans="2:6" outlineLevel="1" x14ac:dyDescent="0.45">
      <c r="C32" s="9" t="s">
        <v>131</v>
      </c>
      <c r="D32" s="12" t="s">
        <v>3</v>
      </c>
      <c r="E32" s="193">
        <f>SUM(E25:E31)</f>
        <v>120</v>
      </c>
      <c r="F32" s="193">
        <f>SUM(F25:F31)</f>
        <v>220</v>
      </c>
    </row>
    <row r="33" spans="2:6" outlineLevel="1" x14ac:dyDescent="0.45"/>
    <row r="34" spans="2:6" outlineLevel="1" x14ac:dyDescent="0.45">
      <c r="C34" s="189" t="s">
        <v>132</v>
      </c>
      <c r="D34" s="8" t="s">
        <v>3</v>
      </c>
      <c r="E34" s="173">
        <v>-15</v>
      </c>
      <c r="F34" s="173">
        <v>-15</v>
      </c>
    </row>
    <row r="35" spans="2:6" outlineLevel="1" x14ac:dyDescent="0.45">
      <c r="C35" s="189" t="s">
        <v>63</v>
      </c>
      <c r="D35" s="8" t="s">
        <v>3</v>
      </c>
      <c r="E35" s="173">
        <v>-10</v>
      </c>
      <c r="F35" s="173">
        <v>-10</v>
      </c>
    </row>
    <row r="36" spans="2:6" outlineLevel="1" x14ac:dyDescent="0.45">
      <c r="C36" s="189"/>
      <c r="E36" s="173"/>
      <c r="F36" s="173"/>
    </row>
    <row r="37" spans="2:6" outlineLevel="1" x14ac:dyDescent="0.45">
      <c r="C37" s="206" t="s">
        <v>133</v>
      </c>
      <c r="D37" s="202" t="s">
        <v>3</v>
      </c>
      <c r="E37" s="219">
        <f>E32+SUM(E34:E35)</f>
        <v>95</v>
      </c>
      <c r="F37" s="219">
        <f>F32+SUM(F34:F35)</f>
        <v>195</v>
      </c>
    </row>
    <row r="38" spans="2:6" outlineLevel="1" x14ac:dyDescent="0.45">
      <c r="C38" s="213" t="s">
        <v>134</v>
      </c>
      <c r="D38" s="215" t="s">
        <v>3</v>
      </c>
      <c r="E38" s="214">
        <f>-E37*Tax_Rate</f>
        <v>-23.75</v>
      </c>
      <c r="F38" s="214">
        <f>-F37*Tax_Rate</f>
        <v>-48.75</v>
      </c>
    </row>
    <row r="39" spans="2:6" outlineLevel="1" x14ac:dyDescent="0.45">
      <c r="C39" s="220" t="s">
        <v>135</v>
      </c>
      <c r="D39" s="202" t="s">
        <v>3</v>
      </c>
      <c r="E39" s="221">
        <f t="shared" ref="E39" si="2">SUM(E37:E38)</f>
        <v>71.25</v>
      </c>
      <c r="F39" s="221">
        <f>SUM(F37:F38)</f>
        <v>146.25</v>
      </c>
    </row>
    <row r="40" spans="2:6" outlineLevel="1" x14ac:dyDescent="0.45">
      <c r="C40" s="191"/>
      <c r="E40" s="171"/>
      <c r="F40" s="171"/>
    </row>
    <row r="41" spans="2:6" outlineLevel="1" x14ac:dyDescent="0.45">
      <c r="C41" s="206" t="s">
        <v>16</v>
      </c>
      <c r="D41" s="202" t="s">
        <v>3</v>
      </c>
      <c r="E41" s="207">
        <f>E32-E30-E29</f>
        <v>150</v>
      </c>
      <c r="F41" s="207">
        <f>F32-F30-F29</f>
        <v>450</v>
      </c>
    </row>
    <row r="42" spans="2:6" outlineLevel="1" x14ac:dyDescent="0.45">
      <c r="C42" s="208" t="s">
        <v>136</v>
      </c>
      <c r="D42" s="202" t="s">
        <v>2</v>
      </c>
      <c r="E42" s="209">
        <f>E41/E$25</f>
        <v>0.15</v>
      </c>
      <c r="F42" s="209">
        <f>F41/F$25</f>
        <v>0.45</v>
      </c>
    </row>
    <row r="43" spans="2:6" outlineLevel="1" x14ac:dyDescent="0.45">
      <c r="C43" s="210"/>
      <c r="D43" s="201"/>
      <c r="E43" s="211"/>
      <c r="F43" s="211"/>
    </row>
    <row r="44" spans="2:6" outlineLevel="1" x14ac:dyDescent="0.45">
      <c r="C44" s="206" t="s">
        <v>189</v>
      </c>
      <c r="D44" s="202" t="s">
        <v>3</v>
      </c>
      <c r="E44" s="212">
        <f>E41+E98</f>
        <v>150</v>
      </c>
      <c r="F44" s="212">
        <f>F41+F98</f>
        <v>150</v>
      </c>
    </row>
    <row r="45" spans="2:6" outlineLevel="1" x14ac:dyDescent="0.45">
      <c r="C45" s="208" t="s">
        <v>48</v>
      </c>
      <c r="D45" s="202" t="s">
        <v>2</v>
      </c>
      <c r="E45" s="209">
        <f>E44/E$25</f>
        <v>0.15</v>
      </c>
      <c r="F45" s="209">
        <f>F44/F$25</f>
        <v>0.15</v>
      </c>
    </row>
    <row r="46" spans="2:6" x14ac:dyDescent="0.45">
      <c r="C46" s="191"/>
      <c r="E46" s="171"/>
      <c r="F46" s="171"/>
    </row>
    <row r="47" spans="2:6" x14ac:dyDescent="0.45">
      <c r="B47" s="4"/>
      <c r="C47" s="4"/>
      <c r="D47" s="4"/>
      <c r="E47" s="165" t="str">
        <f>$E$22</f>
        <v>100% Expensed</v>
      </c>
      <c r="F47" s="164" t="str">
        <f>$F$22</f>
        <v>100% Capitalized</v>
      </c>
    </row>
    <row r="48" spans="2:6" x14ac:dyDescent="0.45">
      <c r="B48" s="10" t="s">
        <v>137</v>
      </c>
      <c r="C48" s="10"/>
      <c r="D48" s="11" t="str">
        <f>$D$23</f>
        <v>Units:</v>
      </c>
      <c r="E48" s="166" t="str">
        <f>$E$23</f>
        <v>R&amp;D:</v>
      </c>
      <c r="F48" s="166" t="str">
        <f>$F$23</f>
        <v>R&amp;D:</v>
      </c>
    </row>
    <row r="49" spans="2:10" outlineLevel="1" x14ac:dyDescent="0.45">
      <c r="B49" s="168" t="s">
        <v>138</v>
      </c>
      <c r="C49" s="7"/>
      <c r="D49" s="7"/>
      <c r="E49" s="7"/>
      <c r="F49" s="7"/>
    </row>
    <row r="50" spans="2:10" outlineLevel="1" x14ac:dyDescent="0.45">
      <c r="C50" s="2" t="s">
        <v>139</v>
      </c>
    </row>
    <row r="51" spans="2:10" outlineLevel="1" x14ac:dyDescent="0.45">
      <c r="C51" s="213" t="s">
        <v>140</v>
      </c>
      <c r="D51" s="202" t="s">
        <v>3</v>
      </c>
      <c r="E51" s="218">
        <f t="shared" ref="E51" si="3">E109</f>
        <v>346.25</v>
      </c>
      <c r="F51" s="218">
        <f>F109</f>
        <v>321.25</v>
      </c>
      <c r="J51" s="197"/>
    </row>
    <row r="52" spans="2:10" outlineLevel="1" x14ac:dyDescent="0.45">
      <c r="C52" s="181" t="s">
        <v>141</v>
      </c>
      <c r="D52" s="178" t="s">
        <v>3</v>
      </c>
      <c r="E52" s="182">
        <v>100</v>
      </c>
      <c r="F52" s="182">
        <v>100</v>
      </c>
    </row>
    <row r="53" spans="2:10" outlineLevel="1" x14ac:dyDescent="0.45">
      <c r="C53" s="177" t="s">
        <v>142</v>
      </c>
      <c r="D53" s="8" t="s">
        <v>3</v>
      </c>
      <c r="E53" s="176">
        <f>SUM(E51:E52)</f>
        <v>446.25</v>
      </c>
      <c r="F53" s="176">
        <f>SUM(F51:F52)</f>
        <v>421.25</v>
      </c>
    </row>
    <row r="54" spans="2:10" outlineLevel="1" x14ac:dyDescent="0.45">
      <c r="E54" s="171"/>
      <c r="F54" s="171"/>
    </row>
    <row r="55" spans="2:10" outlineLevel="1" x14ac:dyDescent="0.45">
      <c r="C55" s="177" t="s">
        <v>143</v>
      </c>
      <c r="E55" s="171"/>
      <c r="F55" s="171"/>
    </row>
    <row r="56" spans="2:10" outlineLevel="1" x14ac:dyDescent="0.45">
      <c r="C56" s="65" t="s">
        <v>182</v>
      </c>
      <c r="D56" s="8" t="s">
        <v>3</v>
      </c>
      <c r="E56" s="173">
        <v>150</v>
      </c>
      <c r="F56" s="173">
        <v>150</v>
      </c>
    </row>
    <row r="57" spans="2:10" outlineLevel="1" x14ac:dyDescent="0.45">
      <c r="C57" s="65" t="s">
        <v>185</v>
      </c>
      <c r="D57" s="8" t="s">
        <v>3</v>
      </c>
      <c r="E57" s="173">
        <v>150</v>
      </c>
      <c r="F57" s="173">
        <v>150</v>
      </c>
    </row>
    <row r="58" spans="2:10" outlineLevel="1" x14ac:dyDescent="0.45">
      <c r="C58" s="65" t="s">
        <v>144</v>
      </c>
      <c r="D58" s="8" t="s">
        <v>3</v>
      </c>
      <c r="E58" s="173">
        <v>300</v>
      </c>
      <c r="F58" s="173">
        <v>300</v>
      </c>
    </row>
    <row r="59" spans="2:10" outlineLevel="1" x14ac:dyDescent="0.45">
      <c r="C59" s="213" t="s">
        <v>186</v>
      </c>
      <c r="D59" s="202" t="s">
        <v>3</v>
      </c>
      <c r="E59" s="205">
        <v>0</v>
      </c>
      <c r="F59" s="205">
        <v>400</v>
      </c>
    </row>
    <row r="60" spans="2:10" outlineLevel="1" x14ac:dyDescent="0.45">
      <c r="C60" s="181" t="s">
        <v>145</v>
      </c>
      <c r="D60" s="178" t="s">
        <v>3</v>
      </c>
      <c r="E60" s="182">
        <v>100</v>
      </c>
      <c r="F60" s="182">
        <v>100</v>
      </c>
    </row>
    <row r="61" spans="2:10" outlineLevel="1" x14ac:dyDescent="0.45">
      <c r="C61" s="177" t="s">
        <v>146</v>
      </c>
      <c r="D61" s="8" t="s">
        <v>3</v>
      </c>
      <c r="E61" s="176">
        <f>SUM(E56:E60)</f>
        <v>700</v>
      </c>
      <c r="F61" s="176">
        <f>SUM(F56:F60)</f>
        <v>1100</v>
      </c>
    </row>
    <row r="62" spans="2:10" outlineLevel="1" x14ac:dyDescent="0.45">
      <c r="C62" s="177"/>
      <c r="E62" s="183"/>
      <c r="F62" s="171"/>
    </row>
    <row r="63" spans="2:10" outlineLevel="1" x14ac:dyDescent="0.45">
      <c r="C63" s="177" t="s">
        <v>147</v>
      </c>
      <c r="D63" s="8" t="s">
        <v>3</v>
      </c>
      <c r="E63" s="187">
        <f>E53+E61</f>
        <v>1146.25</v>
      </c>
      <c r="F63" s="187">
        <f>F53+F61</f>
        <v>1521.25</v>
      </c>
      <c r="G63" s="171"/>
    </row>
    <row r="64" spans="2:10" outlineLevel="1" x14ac:dyDescent="0.45">
      <c r="C64" s="177"/>
      <c r="E64" s="183"/>
      <c r="F64" s="171"/>
      <c r="G64" s="171"/>
    </row>
    <row r="65" spans="2:7" outlineLevel="1" x14ac:dyDescent="0.45">
      <c r="B65" s="7" t="s">
        <v>148</v>
      </c>
      <c r="C65" s="7"/>
      <c r="D65" s="7"/>
      <c r="E65" s="7"/>
      <c r="F65" s="7"/>
      <c r="G65" s="171"/>
    </row>
    <row r="66" spans="2:7" outlineLevel="1" x14ac:dyDescent="0.45">
      <c r="C66" s="2" t="s">
        <v>149</v>
      </c>
      <c r="D66" s="2"/>
      <c r="E66" s="171"/>
      <c r="F66" s="2"/>
      <c r="G66" s="171"/>
    </row>
    <row r="67" spans="2:7" outlineLevel="1" x14ac:dyDescent="0.45">
      <c r="C67" s="65" t="s">
        <v>150</v>
      </c>
      <c r="D67" s="8" t="s">
        <v>3</v>
      </c>
      <c r="E67" s="180">
        <v>120</v>
      </c>
      <c r="F67" s="180">
        <v>120</v>
      </c>
      <c r="G67" s="171"/>
    </row>
    <row r="68" spans="2:7" outlineLevel="1" x14ac:dyDescent="0.45">
      <c r="C68" s="65" t="s">
        <v>151</v>
      </c>
      <c r="D68" s="178" t="s">
        <v>3</v>
      </c>
      <c r="E68" s="173">
        <v>110</v>
      </c>
      <c r="F68" s="173">
        <v>110</v>
      </c>
      <c r="G68" s="171"/>
    </row>
    <row r="69" spans="2:7" outlineLevel="1" x14ac:dyDescent="0.45">
      <c r="C69" s="179" t="s">
        <v>152</v>
      </c>
      <c r="D69" s="8" t="s">
        <v>3</v>
      </c>
      <c r="E69" s="184">
        <f>SUM(E67:E68)</f>
        <v>230</v>
      </c>
      <c r="F69" s="184">
        <f>SUM(F67:F68)</f>
        <v>230</v>
      </c>
      <c r="G69" s="171"/>
    </row>
    <row r="70" spans="2:7" outlineLevel="1" x14ac:dyDescent="0.45">
      <c r="E70" s="171"/>
      <c r="F70" s="171"/>
      <c r="G70" s="171"/>
    </row>
    <row r="71" spans="2:7" outlineLevel="1" x14ac:dyDescent="0.45">
      <c r="C71" s="177" t="s">
        <v>153</v>
      </c>
      <c r="E71" s="75"/>
      <c r="F71" s="75"/>
      <c r="G71" s="171"/>
    </row>
    <row r="72" spans="2:7" outlineLevel="1" x14ac:dyDescent="0.45">
      <c r="C72" s="65" t="s">
        <v>154</v>
      </c>
      <c r="D72" s="8" t="s">
        <v>3</v>
      </c>
      <c r="E72" s="173">
        <v>300</v>
      </c>
      <c r="F72" s="173">
        <v>300</v>
      </c>
      <c r="G72" s="171"/>
    </row>
    <row r="73" spans="2:7" outlineLevel="1" x14ac:dyDescent="0.45">
      <c r="C73" s="65" t="s">
        <v>187</v>
      </c>
      <c r="D73" s="8" t="s">
        <v>3</v>
      </c>
      <c r="E73" s="173">
        <v>150</v>
      </c>
      <c r="F73" s="173">
        <v>150</v>
      </c>
      <c r="G73" s="171"/>
    </row>
    <row r="74" spans="2:7" outlineLevel="1" x14ac:dyDescent="0.45">
      <c r="C74" s="181" t="s">
        <v>155</v>
      </c>
      <c r="D74" s="178" t="s">
        <v>3</v>
      </c>
      <c r="E74" s="182">
        <v>400</v>
      </c>
      <c r="F74" s="182">
        <v>400</v>
      </c>
      <c r="G74" s="171"/>
    </row>
    <row r="75" spans="2:7" outlineLevel="1" x14ac:dyDescent="0.45">
      <c r="C75" s="177" t="s">
        <v>156</v>
      </c>
      <c r="D75" s="8" t="s">
        <v>3</v>
      </c>
      <c r="E75" s="176">
        <f>SUM(E72:E74)</f>
        <v>850</v>
      </c>
      <c r="F75" s="176">
        <f>SUM(F72:F74)</f>
        <v>850</v>
      </c>
    </row>
    <row r="76" spans="2:7" outlineLevel="1" x14ac:dyDescent="0.45">
      <c r="C76" s="177"/>
      <c r="E76" s="183"/>
      <c r="F76" s="171"/>
    </row>
    <row r="77" spans="2:7" outlineLevel="1" x14ac:dyDescent="0.45">
      <c r="C77" s="177" t="s">
        <v>157</v>
      </c>
      <c r="D77" s="8" t="s">
        <v>3</v>
      </c>
      <c r="E77" s="176">
        <f>E69+E75</f>
        <v>1080</v>
      </c>
      <c r="F77" s="176">
        <f>F69+F75</f>
        <v>1080</v>
      </c>
    </row>
    <row r="78" spans="2:7" outlineLevel="1" x14ac:dyDescent="0.45">
      <c r="E78" s="171"/>
      <c r="F78" s="171"/>
    </row>
    <row r="79" spans="2:7" outlineLevel="1" x14ac:dyDescent="0.45">
      <c r="C79" s="177" t="s">
        <v>158</v>
      </c>
      <c r="D79" s="8" t="s">
        <v>3</v>
      </c>
      <c r="E79" s="196">
        <v>66.25</v>
      </c>
      <c r="F79" s="196">
        <v>441.25</v>
      </c>
    </row>
    <row r="80" spans="2:7" outlineLevel="1" x14ac:dyDescent="0.45">
      <c r="C80" s="177"/>
      <c r="E80" s="171"/>
      <c r="F80" s="171"/>
    </row>
    <row r="81" spans="2:6" outlineLevel="1" x14ac:dyDescent="0.45">
      <c r="C81" s="177" t="s">
        <v>159</v>
      </c>
      <c r="D81" s="8" t="s">
        <v>3</v>
      </c>
      <c r="E81" s="187">
        <f>E77+E79</f>
        <v>1146.25</v>
      </c>
      <c r="F81" s="187">
        <f>F77+F79</f>
        <v>1521.25</v>
      </c>
    </row>
    <row r="82" spans="2:6" outlineLevel="1" x14ac:dyDescent="0.45">
      <c r="C82" s="65"/>
      <c r="E82" s="171"/>
      <c r="F82" s="171"/>
    </row>
    <row r="83" spans="2:6" ht="14.5" customHeight="1" outlineLevel="1" x14ac:dyDescent="0.45">
      <c r="C83" s="185" t="s">
        <v>160</v>
      </c>
      <c r="E83" s="194">
        <f>E63-E81</f>
        <v>0</v>
      </c>
      <c r="F83" s="194">
        <f>F63-F81</f>
        <v>0</v>
      </c>
    </row>
    <row r="85" spans="2:6" x14ac:dyDescent="0.45">
      <c r="B85" s="4"/>
      <c r="C85" s="4"/>
      <c r="D85" s="4"/>
      <c r="E85" s="165" t="str">
        <f>$E$22</f>
        <v>100% Expensed</v>
      </c>
      <c r="F85" s="164" t="str">
        <f>$F$22</f>
        <v>100% Capitalized</v>
      </c>
    </row>
    <row r="86" spans="2:6" x14ac:dyDescent="0.45">
      <c r="B86" s="10" t="s">
        <v>161</v>
      </c>
      <c r="C86" s="10"/>
      <c r="D86" s="11" t="str">
        <f>$D$23</f>
        <v>Units:</v>
      </c>
      <c r="E86" s="166" t="str">
        <f>$E$23</f>
        <v>R&amp;D:</v>
      </c>
      <c r="F86" s="166" t="str">
        <f>$F$23</f>
        <v>R&amp;D:</v>
      </c>
    </row>
    <row r="87" spans="2:6" outlineLevel="1" x14ac:dyDescent="0.45">
      <c r="B87" s="7" t="s">
        <v>162</v>
      </c>
      <c r="C87" s="186"/>
      <c r="D87" s="7"/>
      <c r="E87" s="7" t="s">
        <v>163</v>
      </c>
      <c r="F87" s="7" t="s">
        <v>163</v>
      </c>
    </row>
    <row r="88" spans="2:6" outlineLevel="1" x14ac:dyDescent="0.45">
      <c r="C88" s="216" t="s">
        <v>135</v>
      </c>
      <c r="D88" s="202" t="s">
        <v>3</v>
      </c>
      <c r="E88" s="217">
        <f>E39</f>
        <v>71.25</v>
      </c>
      <c r="F88" s="217">
        <f>F39</f>
        <v>146.25</v>
      </c>
    </row>
    <row r="89" spans="2:6" outlineLevel="1" x14ac:dyDescent="0.45">
      <c r="C89" s="2" t="s">
        <v>164</v>
      </c>
      <c r="E89" s="75"/>
      <c r="F89" s="75"/>
    </row>
    <row r="90" spans="2:6" outlineLevel="1" x14ac:dyDescent="0.45">
      <c r="C90" s="204" t="s">
        <v>183</v>
      </c>
      <c r="D90" s="202" t="s">
        <v>3</v>
      </c>
      <c r="E90" s="214">
        <f>-E29</f>
        <v>0</v>
      </c>
      <c r="F90" s="214">
        <f>-F29</f>
        <v>200</v>
      </c>
    </row>
    <row r="91" spans="2:6" outlineLevel="1" x14ac:dyDescent="0.45">
      <c r="C91" s="26" t="s">
        <v>184</v>
      </c>
      <c r="D91" s="8" t="s">
        <v>3</v>
      </c>
      <c r="E91" s="172">
        <f>-E30</f>
        <v>30</v>
      </c>
      <c r="F91" s="172">
        <f>-F30</f>
        <v>30</v>
      </c>
    </row>
    <row r="92" spans="2:6" outlineLevel="1" x14ac:dyDescent="0.45">
      <c r="C92" s="189" t="s">
        <v>65</v>
      </c>
      <c r="D92" s="8" t="s">
        <v>3</v>
      </c>
      <c r="E92" s="173">
        <v>5</v>
      </c>
      <c r="F92" s="173">
        <v>5</v>
      </c>
    </row>
    <row r="93" spans="2:6" outlineLevel="1" x14ac:dyDescent="0.45">
      <c r="C93" s="65" t="s">
        <v>165</v>
      </c>
      <c r="D93" s="8" t="s">
        <v>3</v>
      </c>
      <c r="E93" s="173">
        <v>-5</v>
      </c>
      <c r="F93" s="173">
        <v>-5</v>
      </c>
    </row>
    <row r="94" spans="2:6" outlineLevel="1" x14ac:dyDescent="0.45">
      <c r="C94" s="222" t="s">
        <v>166</v>
      </c>
      <c r="D94" s="223" t="s">
        <v>3</v>
      </c>
      <c r="E94" s="221">
        <f>SUM(E88:E93)</f>
        <v>101.25</v>
      </c>
      <c r="F94" s="221">
        <f>SUM(F88:F93)</f>
        <v>376.25</v>
      </c>
    </row>
    <row r="95" spans="2:6" outlineLevel="1" x14ac:dyDescent="0.45">
      <c r="C95" s="2"/>
      <c r="E95" s="96"/>
      <c r="F95" s="171"/>
    </row>
    <row r="96" spans="2:6" outlineLevel="1" x14ac:dyDescent="0.45">
      <c r="B96" s="7" t="s">
        <v>167</v>
      </c>
      <c r="C96" s="7"/>
      <c r="D96" s="7"/>
      <c r="E96" s="7"/>
      <c r="F96" s="7"/>
    </row>
    <row r="97" spans="2:6" outlineLevel="1" x14ac:dyDescent="0.45">
      <c r="C97" s="65" t="s">
        <v>45</v>
      </c>
      <c r="D97" s="8" t="s">
        <v>3</v>
      </c>
      <c r="E97" s="173">
        <v>-50</v>
      </c>
      <c r="F97" s="173">
        <v>-50</v>
      </c>
    </row>
    <row r="98" spans="2:6" outlineLevel="1" x14ac:dyDescent="0.45">
      <c r="C98" s="213" t="s">
        <v>188</v>
      </c>
      <c r="D98" s="215" t="s">
        <v>3</v>
      </c>
      <c r="E98" s="205">
        <v>0</v>
      </c>
      <c r="F98" s="205">
        <v>-300</v>
      </c>
    </row>
    <row r="99" spans="2:6" outlineLevel="1" x14ac:dyDescent="0.45">
      <c r="C99" s="222" t="s">
        <v>168</v>
      </c>
      <c r="D99" s="202" t="s">
        <v>3</v>
      </c>
      <c r="E99" s="221">
        <f>SUM(E97:E98)</f>
        <v>-50</v>
      </c>
      <c r="F99" s="221">
        <f>SUM(F97:F98)</f>
        <v>-350</v>
      </c>
    </row>
    <row r="100" spans="2:6" outlineLevel="1" x14ac:dyDescent="0.45">
      <c r="C100" s="2"/>
      <c r="E100" s="171"/>
      <c r="F100" s="171"/>
    </row>
    <row r="101" spans="2:6" ht="14.5" customHeight="1" outlineLevel="1" x14ac:dyDescent="0.45">
      <c r="B101" s="7" t="s">
        <v>169</v>
      </c>
      <c r="C101" s="7"/>
      <c r="D101" s="7"/>
      <c r="E101" s="7"/>
      <c r="F101" s="7"/>
    </row>
    <row r="102" spans="2:6" ht="14.5" customHeight="1" outlineLevel="1" x14ac:dyDescent="0.45">
      <c r="C102" s="189" t="s">
        <v>73</v>
      </c>
      <c r="D102" s="8" t="s">
        <v>3</v>
      </c>
      <c r="E102" s="173">
        <v>-5</v>
      </c>
      <c r="F102" s="173">
        <v>-5</v>
      </c>
    </row>
    <row r="103" spans="2:6" ht="14.5" customHeight="1" outlineLevel="1" x14ac:dyDescent="0.45">
      <c r="C103" s="189" t="s">
        <v>170</v>
      </c>
      <c r="D103" s="8" t="s">
        <v>3</v>
      </c>
      <c r="E103" s="173">
        <v>200</v>
      </c>
      <c r="F103" s="173">
        <v>200</v>
      </c>
    </row>
    <row r="104" spans="2:6" ht="14.5" customHeight="1" outlineLevel="1" x14ac:dyDescent="0.45">
      <c r="C104" s="190" t="s">
        <v>171</v>
      </c>
      <c r="D104" s="178" t="s">
        <v>3</v>
      </c>
      <c r="E104" s="182">
        <v>0</v>
      </c>
      <c r="F104" s="182">
        <v>0</v>
      </c>
    </row>
    <row r="105" spans="2:6" outlineLevel="1" x14ac:dyDescent="0.45">
      <c r="C105" s="2" t="s">
        <v>172</v>
      </c>
      <c r="D105" s="8" t="s">
        <v>3</v>
      </c>
      <c r="E105" s="176">
        <f>SUM(E102:E104)</f>
        <v>195</v>
      </c>
      <c r="F105" s="176">
        <f>SUM(F102:F104)</f>
        <v>195</v>
      </c>
    </row>
    <row r="106" spans="2:6" outlineLevel="1" x14ac:dyDescent="0.45">
      <c r="C106" s="2"/>
      <c r="E106" s="171"/>
      <c r="F106" s="171"/>
    </row>
    <row r="107" spans="2:6" outlineLevel="1" x14ac:dyDescent="0.45">
      <c r="C107" s="210" t="s">
        <v>173</v>
      </c>
      <c r="D107" s="202" t="s">
        <v>3</v>
      </c>
      <c r="E107" s="214">
        <f>E94+E99+E105</f>
        <v>246.25</v>
      </c>
      <c r="F107" s="214">
        <f>F94+F99+F105</f>
        <v>221.25</v>
      </c>
    </row>
    <row r="108" spans="2:6" outlineLevel="1" x14ac:dyDescent="0.45">
      <c r="C108" s="224" t="s">
        <v>174</v>
      </c>
      <c r="D108" s="225" t="s">
        <v>3</v>
      </c>
      <c r="E108" s="226">
        <v>100</v>
      </c>
      <c r="F108" s="226">
        <v>100</v>
      </c>
    </row>
    <row r="109" spans="2:6" outlineLevel="1" x14ac:dyDescent="0.45">
      <c r="C109" s="216" t="s">
        <v>175</v>
      </c>
      <c r="D109" s="202" t="s">
        <v>3</v>
      </c>
      <c r="E109" s="217">
        <f>SUM(E107:E108)</f>
        <v>346.25</v>
      </c>
      <c r="F109" s="217">
        <f>SUM(F107:F108)</f>
        <v>321.25</v>
      </c>
    </row>
  </sheetData>
  <pageMargins left="0.7" right="0.7" top="0.75" bottom="0.75" header="0.3" footer="0.3"/>
  <pageSetup scale="49" orientation="portrait" horizontalDpi="200" verticalDpi="200" r:id="rId1"/>
  <rowBreaks count="3" manualBreakCount="3">
    <brk id="21" max="16383" man="1"/>
    <brk id="46" max="6" man="1"/>
    <brk id="8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</vt:i4>
      </vt:variant>
    </vt:vector>
  </HeadingPairs>
  <TitlesOfParts>
    <vt:vector size="17" baseType="lpstr">
      <vt:lpstr>XRO</vt:lpstr>
      <vt:lpstr>Metrics</vt:lpstr>
      <vt:lpstr>Company_Name</vt:lpstr>
      <vt:lpstr>Diluted_Shares</vt:lpstr>
      <vt:lpstr>Discount_Rate</vt:lpstr>
      <vt:lpstr>FY_Pct</vt:lpstr>
      <vt:lpstr>Last_FY</vt:lpstr>
      <vt:lpstr>Months</vt:lpstr>
      <vt:lpstr>Metrics!Print_Area</vt:lpstr>
      <vt:lpstr>XRO!Print_Area</vt:lpstr>
      <vt:lpstr>Metrics!Share_Price</vt:lpstr>
      <vt:lpstr>Share_Price</vt:lpstr>
      <vt:lpstr>Shares</vt:lpstr>
      <vt:lpstr>Metrics!Tax_Rate</vt:lpstr>
      <vt:lpstr>Tax_Rate</vt:lpstr>
      <vt:lpstr>Ticker</vt:lpstr>
      <vt:lpstr>Units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BIWS</dc:creator>
  <cp:lastModifiedBy>Brian DeChesare</cp:lastModifiedBy>
  <cp:lastPrinted>2023-08-19T22:48:37Z</cp:lastPrinted>
  <dcterms:created xsi:type="dcterms:W3CDTF">2016-08-02T00:46:07Z</dcterms:created>
  <dcterms:modified xsi:type="dcterms:W3CDTF">2026-05-20T03:31:51Z</dcterms:modified>
</cp:coreProperties>
</file>