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Oil-Gas-Modeling\Midstream-Oil-and-Gas\"/>
    </mc:Choice>
  </mc:AlternateContent>
  <xr:revisionPtr revIDLastSave="0" documentId="8_{6BD5C326-0E34-4E18-83A9-9CA8463F9BF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WES" sheetId="14" r:id="rId1"/>
    <sheet name="Pub_Comps" sheetId="17" r:id="rId2"/>
    <sheet name="WACC" sheetId="16" r:id="rId3"/>
  </sheets>
  <definedNames>
    <definedName name="Bbl_to_Mcfe">WES!$E$16</definedName>
    <definedName name="CIQWBGuid" hidden="1">"fedf60f8-2cd9-49ba-9fee-91fc372c3a0f"</definedName>
    <definedName name="Company_Name">WES!$E$8</definedName>
    <definedName name="Cost_of_Debt">WACC!$F$8</definedName>
    <definedName name="Cost_of_Equity">WACC!$L$35</definedName>
    <definedName name="Cost_of_Preferred">WACC!$F$9</definedName>
    <definedName name="Diluted_Shares">WES!$E$15</definedName>
    <definedName name="ERP">WACC!$F$7</definedName>
    <definedName name="Hist_Year">WES!$E$10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"08/30/2015 13:55:30"</definedName>
    <definedName name="IQ_QTD" hidden="1">750000</definedName>
    <definedName name="IQ_TODAY" hidden="1">0</definedName>
    <definedName name="IQ_YTDMONTH" hidden="1">130000</definedName>
    <definedName name="Maint_CapEx_Pct">WES!$E$19</definedName>
    <definedName name="_xlnm.Print_Area" localSheetId="1">Pub_Comps!$A$1:$AB$40</definedName>
    <definedName name="_xlnm.Print_Area" localSheetId="2">WACC!$A$1:$M$42</definedName>
    <definedName name="_xlnm.Print_Area" localSheetId="0">WES!$A$1:$S$211</definedName>
    <definedName name="Pub_Comps_Op_Params">Pub_Comps!$B$5:$AA$5</definedName>
    <definedName name="Pub_Comps_Op_Range">Pub_Comps!$B$5:$AA$21</definedName>
    <definedName name="Pub_Comps_Op_Tickers">Pub_Comps!$C$5:$C$21</definedName>
    <definedName name="Pub_Comps_Val_Params">Pub_Comps!$B$23:$S$23</definedName>
    <definedName name="Pub_Comps_Val_Range">Pub_Comps!$B$23:$S$39</definedName>
    <definedName name="Pub_Comps_Val_Tickers">Pub_Comps!$C$23:$C$39</definedName>
    <definedName name="RFR">WACC!$F$6</definedName>
    <definedName name="Share_Price">WES!$E$14</definedName>
    <definedName name="Tax_Rate">WES!$E$18</definedName>
    <definedName name="Ticker">WES!$E$9</definedName>
    <definedName name="Units">WES!$E$12</definedName>
    <definedName name="Val_Date">WES!$E$11</definedName>
    <definedName name="WACC">WACC!$L$41</definedName>
  </definedNames>
  <calcPr calcId="191029" calcMode="autoNoTable"/>
  <fileRecoveryPr autoRecover="0"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4" l="1"/>
  <c r="H88" i="14"/>
  <c r="G88" i="14"/>
  <c r="F88" i="14"/>
  <c r="E88" i="14"/>
  <c r="V21" i="17"/>
  <c r="U21" i="17"/>
  <c r="T21" i="17"/>
  <c r="L6" i="14"/>
  <c r="H106" i="14"/>
  <c r="G106" i="14"/>
  <c r="F106" i="14"/>
  <c r="E106" i="14"/>
  <c r="F161" i="14" l="1"/>
  <c r="G161" i="14"/>
  <c r="H161" i="14"/>
  <c r="E161" i="14"/>
  <c r="H175" i="14"/>
  <c r="G175" i="14"/>
  <c r="F175" i="14"/>
  <c r="E175" i="14"/>
  <c r="H83" i="14"/>
  <c r="G83" i="14"/>
  <c r="F83" i="14"/>
  <c r="E83" i="14"/>
  <c r="I158" i="14"/>
  <c r="E158" i="14"/>
  <c r="I150" i="14"/>
  <c r="D150" i="14"/>
  <c r="I149" i="14"/>
  <c r="D149" i="14"/>
  <c r="I148" i="14"/>
  <c r="D148" i="14"/>
  <c r="I146" i="14"/>
  <c r="D146" i="14"/>
  <c r="I143" i="14"/>
  <c r="D143" i="14"/>
  <c r="H164" i="14"/>
  <c r="G164" i="14"/>
  <c r="F164" i="14"/>
  <c r="E164" i="14"/>
  <c r="H163" i="14"/>
  <c r="G163" i="14"/>
  <c r="F163" i="14"/>
  <c r="E163" i="14"/>
  <c r="F142" i="14"/>
  <c r="F143" i="14"/>
  <c r="F144" i="14"/>
  <c r="F145" i="14"/>
  <c r="F146" i="14"/>
  <c r="F147" i="14"/>
  <c r="F148" i="14"/>
  <c r="F149" i="14"/>
  <c r="F150" i="14"/>
  <c r="F151" i="14"/>
  <c r="D153" i="14"/>
  <c r="I153" i="14"/>
  <c r="F197" i="14"/>
  <c r="G197" i="14" s="1"/>
  <c r="D199" i="14"/>
  <c r="D200" i="14" s="1"/>
  <c r="D201" i="14" s="1"/>
  <c r="D202" i="14" s="1"/>
  <c r="E204" i="14"/>
  <c r="E205" i="14"/>
  <c r="D207" i="14"/>
  <c r="D208" i="14" s="1"/>
  <c r="D209" i="14" s="1"/>
  <c r="D210" i="14" s="1"/>
  <c r="F205" i="14" l="1"/>
  <c r="F183" i="14"/>
  <c r="E183" i="14"/>
  <c r="G205" i="14"/>
  <c r="H197" i="14"/>
  <c r="G186" i="14"/>
  <c r="H166" i="14"/>
  <c r="H167" i="14" s="1"/>
  <c r="H186" i="14"/>
  <c r="G166" i="14"/>
  <c r="F166" i="14"/>
  <c r="F186" i="14"/>
  <c r="E186" i="14"/>
  <c r="E166" i="14"/>
  <c r="E167" i="14" s="1"/>
  <c r="G183" i="14"/>
  <c r="G170" i="14"/>
  <c r="G172" i="14" s="1"/>
  <c r="G167" i="14"/>
  <c r="H183" i="14"/>
  <c r="X5" i="17"/>
  <c r="W5" i="17"/>
  <c r="H55" i="14"/>
  <c r="G55" i="14"/>
  <c r="F55" i="14"/>
  <c r="E55" i="14"/>
  <c r="H46" i="14"/>
  <c r="G46" i="14"/>
  <c r="F46" i="14"/>
  <c r="E46" i="14"/>
  <c r="F9" i="16"/>
  <c r="J5" i="17"/>
  <c r="I5" i="17"/>
  <c r="D19" i="16"/>
  <c r="H5" i="17"/>
  <c r="F5" i="17"/>
  <c r="G5" i="17"/>
  <c r="B5" i="17"/>
  <c r="G168" i="14" l="1"/>
  <c r="F170" i="14"/>
  <c r="F172" i="14" s="1"/>
  <c r="F167" i="14"/>
  <c r="F168" i="14"/>
  <c r="H168" i="14"/>
  <c r="I197" i="14"/>
  <c r="I205" i="14" s="1"/>
  <c r="H205" i="14"/>
  <c r="H170" i="14"/>
  <c r="H172" i="14" s="1"/>
  <c r="E170" i="14"/>
  <c r="E172" i="14" s="1"/>
  <c r="D17" i="16"/>
  <c r="D18" i="16"/>
  <c r="K15" i="16"/>
  <c r="E15" i="16"/>
  <c r="E17" i="16"/>
  <c r="K18" i="16"/>
  <c r="B16" i="16"/>
  <c r="G15" i="16"/>
  <c r="B17" i="16"/>
  <c r="B18" i="16"/>
  <c r="G17" i="16"/>
  <c r="B19" i="16"/>
  <c r="G18" i="16"/>
  <c r="D15" i="16"/>
  <c r="B15" i="16"/>
  <c r="D16" i="16"/>
  <c r="S5" i="17" l="1"/>
  <c r="R23" i="17"/>
  <c r="O23" i="17"/>
  <c r="R5" i="17"/>
  <c r="O5" i="17" l="1"/>
  <c r="P5" i="17"/>
  <c r="P23" i="17"/>
  <c r="S23" i="17"/>
  <c r="B23" i="16" l="1"/>
  <c r="D21" i="16" l="1"/>
  <c r="S28" i="16"/>
  <c r="S27" i="16"/>
  <c r="S26" i="16"/>
  <c r="S25" i="16"/>
  <c r="S24" i="16"/>
  <c r="S23" i="16"/>
  <c r="S22" i="16"/>
  <c r="S21" i="16"/>
  <c r="S20" i="16"/>
  <c r="S19" i="16"/>
  <c r="S18" i="16"/>
  <c r="S16" i="16"/>
  <c r="S15" i="16"/>
  <c r="C23" i="16"/>
  <c r="Q17" i="16" l="1"/>
  <c r="I21" i="17"/>
  <c r="M8" i="14"/>
  <c r="J21" i="17"/>
  <c r="C39" i="17"/>
  <c r="B39" i="17"/>
  <c r="G21" i="17"/>
  <c r="E21" i="17"/>
  <c r="D21" i="17"/>
  <c r="C21" i="17"/>
  <c r="B21" i="17"/>
  <c r="C31" i="17"/>
  <c r="B31" i="17"/>
  <c r="C30" i="17"/>
  <c r="B30" i="17"/>
  <c r="C29" i="17"/>
  <c r="B29" i="17"/>
  <c r="C28" i="17"/>
  <c r="B28" i="17"/>
  <c r="C27" i="17"/>
  <c r="B27" i="17"/>
  <c r="T19" i="17"/>
  <c r="F19" i="17"/>
  <c r="T18" i="17"/>
  <c r="F18" i="17"/>
  <c r="T17" i="17"/>
  <c r="F17" i="17"/>
  <c r="T16" i="17"/>
  <c r="F16" i="17"/>
  <c r="T15" i="17"/>
  <c r="F15" i="17"/>
  <c r="G19" i="16"/>
  <c r="E19" i="16"/>
  <c r="H13" i="17"/>
  <c r="K19" i="16"/>
  <c r="E18" i="16"/>
  <c r="H12" i="17"/>
  <c r="I18" i="16" s="1"/>
  <c r="H11" i="17"/>
  <c r="I17" i="16" s="1"/>
  <c r="K17" i="16"/>
  <c r="H9" i="17"/>
  <c r="I15" i="16" s="1"/>
  <c r="W12" i="17" l="1"/>
  <c r="W9" i="17"/>
  <c r="Q29" i="17"/>
  <c r="W11" i="17"/>
  <c r="H29" i="17"/>
  <c r="I142" i="14"/>
  <c r="D142" i="14"/>
  <c r="D147" i="14"/>
  <c r="I147" i="14"/>
  <c r="D144" i="14"/>
  <c r="I144" i="14"/>
  <c r="I145" i="14"/>
  <c r="D145" i="14"/>
  <c r="L21" i="17"/>
  <c r="M18" i="14"/>
  <c r="K21" i="17"/>
  <c r="Z11" i="17"/>
  <c r="D23" i="16"/>
  <c r="L33" i="16" s="1"/>
  <c r="I19" i="16"/>
  <c r="H19" i="16" s="1"/>
  <c r="J18" i="16"/>
  <c r="M12" i="17"/>
  <c r="P30" i="17" s="1"/>
  <c r="M13" i="17"/>
  <c r="M9" i="17"/>
  <c r="N27" i="17" s="1"/>
  <c r="H27" i="17"/>
  <c r="H30" i="17"/>
  <c r="L18" i="16"/>
  <c r="F18" i="16"/>
  <c r="H18" i="16"/>
  <c r="Z13" i="17"/>
  <c r="M11" i="17"/>
  <c r="M29" i="17" s="1"/>
  <c r="Z12" i="17"/>
  <c r="L15" i="16"/>
  <c r="H15" i="16"/>
  <c r="J15" i="16"/>
  <c r="F15" i="16"/>
  <c r="J17" i="16"/>
  <c r="L17" i="16"/>
  <c r="H17" i="16"/>
  <c r="F17" i="16"/>
  <c r="H31" i="17"/>
  <c r="Z9" i="17"/>
  <c r="H21" i="17"/>
  <c r="H39" i="17" s="1"/>
  <c r="R17" i="16"/>
  <c r="Q29" i="16"/>
  <c r="AA11" i="17"/>
  <c r="X11" i="17"/>
  <c r="Q27" i="17"/>
  <c r="R31" i="17" l="1"/>
  <c r="L19" i="16"/>
  <c r="F19" i="16"/>
  <c r="J19" i="16"/>
  <c r="Q31" i="17"/>
  <c r="R29" i="17"/>
  <c r="W13" i="17"/>
  <c r="S29" i="17"/>
  <c r="N30" i="17"/>
  <c r="M30" i="17"/>
  <c r="O30" i="17"/>
  <c r="O29" i="17"/>
  <c r="P31" i="17"/>
  <c r="M31" i="17"/>
  <c r="P27" i="17"/>
  <c r="M27" i="17"/>
  <c r="N29" i="17"/>
  <c r="AA12" i="17"/>
  <c r="X12" i="17"/>
  <c r="M21" i="17"/>
  <c r="M39" i="17" s="1"/>
  <c r="O31" i="17"/>
  <c r="O27" i="17"/>
  <c r="AA13" i="17"/>
  <c r="N31" i="17"/>
  <c r="P29" i="17"/>
  <c r="Q30" i="17"/>
  <c r="P29" i="16"/>
  <c r="S17" i="16"/>
  <c r="S29" i="16" s="1"/>
  <c r="F8" i="16" s="1"/>
  <c r="R29" i="16"/>
  <c r="Y11" i="17"/>
  <c r="AA9" i="17"/>
  <c r="X9" i="17"/>
  <c r="Y13" i="17" l="1"/>
  <c r="X13" i="17"/>
  <c r="S30" i="17"/>
  <c r="R27" i="17"/>
  <c r="S27" i="17"/>
  <c r="Y12" i="17"/>
  <c r="R30" i="17"/>
  <c r="Y9" i="17"/>
  <c r="S31" i="17" l="1"/>
  <c r="V15" i="17"/>
  <c r="Q18" i="17" l="1"/>
  <c r="Q15" i="17"/>
  <c r="Q19" i="17"/>
  <c r="Q16" i="17"/>
  <c r="Q17" i="17"/>
  <c r="AA10" i="17"/>
  <c r="U17" i="17"/>
  <c r="U19" i="17"/>
  <c r="U16" i="17"/>
  <c r="U18" i="17"/>
  <c r="U15" i="17"/>
  <c r="V16" i="17"/>
  <c r="Z10" i="17"/>
  <c r="V17" i="17"/>
  <c r="N17" i="17"/>
  <c r="N16" i="17"/>
  <c r="N18" i="17"/>
  <c r="N19" i="17"/>
  <c r="N15" i="17"/>
  <c r="V19" i="17"/>
  <c r="V18" i="17"/>
  <c r="K16" i="16"/>
  <c r="E16" i="16"/>
  <c r="G16" i="16"/>
  <c r="H10" i="17"/>
  <c r="I16" i="16" s="1"/>
  <c r="M10" i="17" l="1"/>
  <c r="O28" i="17" s="1"/>
  <c r="Z18" i="17"/>
  <c r="Z17" i="17"/>
  <c r="Z15" i="17"/>
  <c r="Z16" i="17"/>
  <c r="Z19" i="17"/>
  <c r="E21" i="16"/>
  <c r="K21" i="16"/>
  <c r="G19" i="17"/>
  <c r="G18" i="17"/>
  <c r="G17" i="17"/>
  <c r="G15" i="17"/>
  <c r="G16" i="17"/>
  <c r="AA18" i="17"/>
  <c r="AA15" i="17"/>
  <c r="AA17" i="17"/>
  <c r="AA16" i="17"/>
  <c r="AA19" i="17"/>
  <c r="R15" i="17"/>
  <c r="R18" i="17"/>
  <c r="R19" i="17"/>
  <c r="R17" i="17"/>
  <c r="R16" i="17"/>
  <c r="Y10" i="17"/>
  <c r="O15" i="17"/>
  <c r="O18" i="17"/>
  <c r="O16" i="17"/>
  <c r="O17" i="17"/>
  <c r="O19" i="17"/>
  <c r="W10" i="17"/>
  <c r="F16" i="16"/>
  <c r="F21" i="16" s="1"/>
  <c r="R28" i="17"/>
  <c r="H28" i="17"/>
  <c r="Q28" i="17"/>
  <c r="H19" i="17"/>
  <c r="H16" i="17"/>
  <c r="H17" i="17"/>
  <c r="H18" i="17"/>
  <c r="H15" i="17"/>
  <c r="G21" i="16"/>
  <c r="M16" i="17"/>
  <c r="M19" i="17"/>
  <c r="M15" i="17"/>
  <c r="M17" i="17"/>
  <c r="F180" i="14"/>
  <c r="G180" i="14"/>
  <c r="H180" i="14"/>
  <c r="E180" i="14"/>
  <c r="M18" i="17" l="1"/>
  <c r="M28" i="17"/>
  <c r="M34" i="17" s="1"/>
  <c r="N28" i="17"/>
  <c r="N37" i="17" s="1"/>
  <c r="W18" i="17"/>
  <c r="W15" i="17"/>
  <c r="W17" i="17"/>
  <c r="W16" i="17"/>
  <c r="W19" i="17"/>
  <c r="I83" i="14"/>
  <c r="J83" i="14" s="1"/>
  <c r="K83" i="14" s="1"/>
  <c r="L83" i="14" s="1"/>
  <c r="M83" i="14" s="1"/>
  <c r="N83" i="14" s="1"/>
  <c r="O83" i="14" s="1"/>
  <c r="P83" i="14" s="1"/>
  <c r="Q83" i="14" s="1"/>
  <c r="R83" i="14" s="1"/>
  <c r="I82" i="14"/>
  <c r="P28" i="17"/>
  <c r="H16" i="16"/>
  <c r="H21" i="16" s="1"/>
  <c r="H29" i="16" s="1"/>
  <c r="P19" i="17"/>
  <c r="P17" i="17"/>
  <c r="P15" i="17"/>
  <c r="P18" i="17"/>
  <c r="P16" i="17"/>
  <c r="X10" i="17"/>
  <c r="Y18" i="17"/>
  <c r="Y19" i="17"/>
  <c r="Y15" i="17"/>
  <c r="Y17" i="17"/>
  <c r="Y16" i="17"/>
  <c r="L16" i="16"/>
  <c r="L21" i="16" s="1"/>
  <c r="Q33" i="17"/>
  <c r="Q35" i="17"/>
  <c r="Q36" i="17"/>
  <c r="Q37" i="17"/>
  <c r="Q34" i="17"/>
  <c r="H35" i="17"/>
  <c r="H37" i="17"/>
  <c r="H33" i="17"/>
  <c r="H36" i="17"/>
  <c r="H34" i="17"/>
  <c r="R37" i="17"/>
  <c r="R34" i="17"/>
  <c r="R36" i="17"/>
  <c r="R33" i="17"/>
  <c r="R35" i="17"/>
  <c r="J16" i="16"/>
  <c r="J21" i="16" s="1"/>
  <c r="J29" i="16" s="1"/>
  <c r="I21" i="16"/>
  <c r="M37" i="17"/>
  <c r="M35" i="17"/>
  <c r="M33" i="17"/>
  <c r="M36" i="17"/>
  <c r="N34" i="17"/>
  <c r="N33" i="17"/>
  <c r="N35" i="17"/>
  <c r="N36" i="17"/>
  <c r="O36" i="17"/>
  <c r="O33" i="17"/>
  <c r="O35" i="17"/>
  <c r="D129" i="14" s="1"/>
  <c r="O34" i="17"/>
  <c r="O37" i="17"/>
  <c r="P35" i="17"/>
  <c r="P33" i="17"/>
  <c r="P34" i="17"/>
  <c r="P36" i="17"/>
  <c r="P37" i="17"/>
  <c r="X16" i="17" l="1"/>
  <c r="X19" i="17"/>
  <c r="X18" i="17"/>
  <c r="X15" i="17"/>
  <c r="X17" i="17"/>
  <c r="F29" i="16"/>
  <c r="J82" i="14"/>
  <c r="D28" i="16"/>
  <c r="D29" i="16"/>
  <c r="S15" i="17"/>
  <c r="S18" i="17"/>
  <c r="S19" i="17"/>
  <c r="S16" i="17"/>
  <c r="S17" i="17"/>
  <c r="S28" i="17"/>
  <c r="J101" i="14"/>
  <c r="J100" i="14"/>
  <c r="H78" i="14"/>
  <c r="G78" i="14"/>
  <c r="F78" i="14"/>
  <c r="H77" i="14"/>
  <c r="G77" i="14"/>
  <c r="F77" i="14"/>
  <c r="E78" i="14"/>
  <c r="E77" i="14"/>
  <c r="K82" i="14" l="1"/>
  <c r="S37" i="17"/>
  <c r="S33" i="17"/>
  <c r="S36" i="17"/>
  <c r="S34" i="17"/>
  <c r="S35" i="17"/>
  <c r="K100" i="14"/>
  <c r="K101" i="14"/>
  <c r="L82" i="14" l="1"/>
  <c r="L100" i="14"/>
  <c r="L101" i="14"/>
  <c r="M82" i="14" l="1"/>
  <c r="M100" i="14"/>
  <c r="M101" i="14"/>
  <c r="N82" i="14" l="1"/>
  <c r="N100" i="14"/>
  <c r="N101" i="14"/>
  <c r="O82" i="14" l="1"/>
  <c r="O100" i="14"/>
  <c r="O101" i="14"/>
  <c r="P82" i="14" l="1"/>
  <c r="P100" i="14"/>
  <c r="P101" i="14"/>
  <c r="Q82" i="14" l="1"/>
  <c r="Q100" i="14"/>
  <c r="Q101" i="14"/>
  <c r="R82" i="14" l="1"/>
  <c r="R100" i="14"/>
  <c r="R101" i="14"/>
  <c r="E19" i="14" l="1"/>
  <c r="G66" i="14" l="1"/>
  <c r="F66" i="14"/>
  <c r="E66" i="14"/>
  <c r="E69" i="14" s="1"/>
  <c r="H62" i="14"/>
  <c r="H115" i="14" s="1"/>
  <c r="G62" i="14"/>
  <c r="F62" i="14"/>
  <c r="E62" i="14"/>
  <c r="E115" i="14" s="1"/>
  <c r="H66" i="14"/>
  <c r="F115" i="14"/>
  <c r="G115" i="14"/>
  <c r="J73" i="14"/>
  <c r="K73" i="14" s="1"/>
  <c r="L73" i="14" s="1"/>
  <c r="M73" i="14" s="1"/>
  <c r="N73" i="14" s="1"/>
  <c r="O73" i="14" s="1"/>
  <c r="P73" i="14" s="1"/>
  <c r="Q73" i="14" s="1"/>
  <c r="R73" i="14" s="1"/>
  <c r="I52" i="14"/>
  <c r="J52" i="14" s="1"/>
  <c r="K52" i="14" s="1"/>
  <c r="L52" i="14" s="1"/>
  <c r="M52" i="14" s="1"/>
  <c r="N52" i="14" s="1"/>
  <c r="O52" i="14" s="1"/>
  <c r="P52" i="14" s="1"/>
  <c r="Q52" i="14" s="1"/>
  <c r="R52" i="14" s="1"/>
  <c r="R43" i="14" s="1"/>
  <c r="I49" i="14"/>
  <c r="H37" i="14"/>
  <c r="G37" i="14"/>
  <c r="F37" i="14"/>
  <c r="H36" i="14"/>
  <c r="G36" i="14"/>
  <c r="F36" i="14"/>
  <c r="E36" i="14"/>
  <c r="E37" i="14"/>
  <c r="H59" i="14"/>
  <c r="G59" i="14"/>
  <c r="F59" i="14"/>
  <c r="H58" i="14"/>
  <c r="G58" i="14"/>
  <c r="F58" i="14"/>
  <c r="E59" i="14"/>
  <c r="E58" i="14"/>
  <c r="H53" i="14"/>
  <c r="G53" i="14"/>
  <c r="F53" i="14"/>
  <c r="G50" i="14"/>
  <c r="H50" i="14"/>
  <c r="F50" i="14"/>
  <c r="G44" i="14"/>
  <c r="H44" i="14"/>
  <c r="F44" i="14"/>
  <c r="G41" i="14"/>
  <c r="H41" i="14"/>
  <c r="F41" i="14"/>
  <c r="I40" i="14" l="1"/>
  <c r="I55" i="14"/>
  <c r="J49" i="14"/>
  <c r="J55" i="14" s="1"/>
  <c r="I43" i="14"/>
  <c r="I44" i="14" s="1"/>
  <c r="J43" i="14"/>
  <c r="L43" i="14"/>
  <c r="K43" i="14"/>
  <c r="M43" i="14"/>
  <c r="N43" i="14"/>
  <c r="O43" i="14"/>
  <c r="P43" i="14"/>
  <c r="Q43" i="14"/>
  <c r="B3" i="16"/>
  <c r="N44" i="14" l="1"/>
  <c r="J44" i="14"/>
  <c r="K44" i="14"/>
  <c r="I41" i="14"/>
  <c r="I46" i="14"/>
  <c r="K49" i="14"/>
  <c r="K55" i="14" s="1"/>
  <c r="J40" i="14"/>
  <c r="P44" i="14"/>
  <c r="M44" i="14"/>
  <c r="Q44" i="14"/>
  <c r="O44" i="14"/>
  <c r="L44" i="14"/>
  <c r="R44" i="14"/>
  <c r="J41" i="14" l="1"/>
  <c r="J46" i="14"/>
  <c r="L49" i="14"/>
  <c r="L55" i="14" s="1"/>
  <c r="K40" i="14"/>
  <c r="K46" i="14" s="1"/>
  <c r="B3" i="17"/>
  <c r="K41" i="14" l="1"/>
  <c r="M49" i="14"/>
  <c r="M55" i="14" s="1"/>
  <c r="L40" i="14"/>
  <c r="L46" i="14" s="1"/>
  <c r="L41" i="14" l="1"/>
  <c r="N49" i="14"/>
  <c r="N55" i="14" s="1"/>
  <c r="M40" i="14"/>
  <c r="M46" i="14" s="1"/>
  <c r="C29" i="16"/>
  <c r="K29" i="16" s="1"/>
  <c r="C28" i="16"/>
  <c r="B25" i="16"/>
  <c r="B2" i="16"/>
  <c r="E28" i="16" l="1"/>
  <c r="K28" i="16"/>
  <c r="G28" i="16"/>
  <c r="I28" i="16"/>
  <c r="G112" i="14"/>
  <c r="E112" i="14"/>
  <c r="F112" i="14"/>
  <c r="H112" i="14"/>
  <c r="M41" i="14"/>
  <c r="O49" i="14"/>
  <c r="O55" i="14" s="1"/>
  <c r="N40" i="14"/>
  <c r="N46" i="14" s="1"/>
  <c r="H86" i="14" l="1"/>
  <c r="H85" i="14"/>
  <c r="E117" i="14"/>
  <c r="E120" i="14" s="1"/>
  <c r="E86" i="14"/>
  <c r="E85" i="14"/>
  <c r="F117" i="14"/>
  <c r="F120" i="14" s="1"/>
  <c r="F85" i="14"/>
  <c r="F86" i="14"/>
  <c r="G117" i="14"/>
  <c r="G120" i="14" s="1"/>
  <c r="G86" i="14"/>
  <c r="G85" i="14"/>
  <c r="H117" i="14"/>
  <c r="H120" i="14" s="1"/>
  <c r="N21" i="17"/>
  <c r="N39" i="17" s="1"/>
  <c r="F28" i="16"/>
  <c r="I29" i="16"/>
  <c r="G29" i="16"/>
  <c r="E29" i="16"/>
  <c r="L28" i="16"/>
  <c r="L31" i="16" s="1"/>
  <c r="H28" i="16"/>
  <c r="J28" i="16"/>
  <c r="N41" i="14"/>
  <c r="P49" i="14"/>
  <c r="P55" i="14" s="1"/>
  <c r="O40" i="14"/>
  <c r="O46" i="14" s="1"/>
  <c r="I109" i="14"/>
  <c r="E109" i="14"/>
  <c r="E107" i="14"/>
  <c r="E102" i="14"/>
  <c r="E104" i="14" s="1"/>
  <c r="E176" i="14" l="1"/>
  <c r="E191" i="14"/>
  <c r="E188" i="14"/>
  <c r="Q21" i="17"/>
  <c r="Q39" i="17" s="1"/>
  <c r="L39" i="16"/>
  <c r="L29" i="16"/>
  <c r="L32" i="16" s="1"/>
  <c r="L38" i="16" s="1"/>
  <c r="L37" i="16"/>
  <c r="Q49" i="14"/>
  <c r="Q55" i="14" s="1"/>
  <c r="P40" i="14"/>
  <c r="P46" i="14" s="1"/>
  <c r="O41" i="14"/>
  <c r="AA21" i="17" l="1"/>
  <c r="L35" i="16"/>
  <c r="F176" i="14"/>
  <c r="F191" i="14"/>
  <c r="F192" i="14" s="1"/>
  <c r="F188" i="14"/>
  <c r="H176" i="14"/>
  <c r="H191" i="14"/>
  <c r="H188" i="14"/>
  <c r="G176" i="14"/>
  <c r="G191" i="14"/>
  <c r="G192" i="14" s="1"/>
  <c r="G188" i="14"/>
  <c r="L41" i="16"/>
  <c r="D125" i="14" s="1"/>
  <c r="P41" i="14"/>
  <c r="R49" i="14"/>
  <c r="R55" i="14" s="1"/>
  <c r="Q40" i="14"/>
  <c r="Q46" i="14" s="1"/>
  <c r="F189" i="14" l="1"/>
  <c r="G189" i="14"/>
  <c r="H189" i="14"/>
  <c r="H192" i="14"/>
  <c r="Q41" i="14"/>
  <c r="R40" i="14"/>
  <c r="R46" i="14" s="1"/>
  <c r="H107" i="14"/>
  <c r="F107" i="14"/>
  <c r="G107" i="14"/>
  <c r="R41" i="14" l="1"/>
  <c r="F102" i="14"/>
  <c r="F104" i="14" s="1"/>
  <c r="H102" i="14"/>
  <c r="H104" i="14" s="1"/>
  <c r="G102" i="14"/>
  <c r="G104" i="14" s="1"/>
  <c r="E90" i="14"/>
  <c r="F26" i="14" l="1"/>
  <c r="F34" i="14" s="1"/>
  <c r="F35" i="14" s="1"/>
  <c r="F73" i="14" s="1"/>
  <c r="G26" i="14"/>
  <c r="G34" i="14" s="1"/>
  <c r="G35" i="14" s="1"/>
  <c r="G73" i="14" s="1"/>
  <c r="H26" i="14"/>
  <c r="H34" i="14" s="1"/>
  <c r="H35" i="14" s="1"/>
  <c r="H73" i="14" s="1"/>
  <c r="E26" i="14"/>
  <c r="E34" i="14" s="1"/>
  <c r="E35" i="14" s="1"/>
  <c r="E73" i="14" s="1"/>
  <c r="H22" i="14"/>
  <c r="H159" i="14" l="1"/>
  <c r="H28" i="14"/>
  <c r="H31" i="14"/>
  <c r="H56" i="14"/>
  <c r="H75" i="14" s="1"/>
  <c r="I75" i="14" s="1"/>
  <c r="Q26" i="17"/>
  <c r="N26" i="17"/>
  <c r="H110" i="14"/>
  <c r="H39" i="14"/>
  <c r="H48" i="14"/>
  <c r="H61" i="14"/>
  <c r="H72" i="14"/>
  <c r="I22" i="14"/>
  <c r="G22" i="14"/>
  <c r="H91" i="14"/>
  <c r="G159" i="14" l="1"/>
  <c r="I159" i="14"/>
  <c r="I56" i="14"/>
  <c r="I96" i="14" s="1"/>
  <c r="I28" i="14"/>
  <c r="I31" i="14"/>
  <c r="J75" i="14"/>
  <c r="H80" i="14"/>
  <c r="I80" i="14" s="1"/>
  <c r="J31" i="14"/>
  <c r="I25" i="14"/>
  <c r="G28" i="14"/>
  <c r="G31" i="14"/>
  <c r="G56" i="14"/>
  <c r="U8" i="17"/>
  <c r="R8" i="17"/>
  <c r="R26" i="17" s="1"/>
  <c r="O8" i="17"/>
  <c r="O26" i="17" s="1"/>
  <c r="I110" i="14"/>
  <c r="I39" i="14"/>
  <c r="I48" i="14"/>
  <c r="I61" i="14"/>
  <c r="I72" i="14"/>
  <c r="G110" i="14"/>
  <c r="G39" i="14"/>
  <c r="G48" i="14"/>
  <c r="G61" i="14"/>
  <c r="G72" i="14"/>
  <c r="J22" i="14"/>
  <c r="F22" i="14"/>
  <c r="G91" i="14"/>
  <c r="F159" i="14" l="1"/>
  <c r="J159" i="14"/>
  <c r="I36" i="14"/>
  <c r="I99" i="14" s="1"/>
  <c r="I68" i="14"/>
  <c r="H32" i="14"/>
  <c r="J80" i="14"/>
  <c r="J56" i="14"/>
  <c r="J68" i="14" s="1"/>
  <c r="J28" i="14"/>
  <c r="H29" i="14"/>
  <c r="I24" i="14"/>
  <c r="I26" i="14" s="1"/>
  <c r="I34" i="14" s="1"/>
  <c r="I35" i="14" s="1"/>
  <c r="I95" i="14" s="1"/>
  <c r="I163" i="14" s="1"/>
  <c r="H68" i="14"/>
  <c r="H69" i="14" s="1"/>
  <c r="I69" i="14" s="1"/>
  <c r="G75" i="14"/>
  <c r="K75" i="14"/>
  <c r="G80" i="14"/>
  <c r="H63" i="14"/>
  <c r="K31" i="14"/>
  <c r="J25" i="14"/>
  <c r="K80" i="14"/>
  <c r="F31" i="14"/>
  <c r="F28" i="14"/>
  <c r="F56" i="14"/>
  <c r="F75" i="14" s="1"/>
  <c r="S8" i="17"/>
  <c r="S26" i="17" s="1"/>
  <c r="V8" i="17"/>
  <c r="P8" i="17"/>
  <c r="P26" i="17" s="1"/>
  <c r="J110" i="14"/>
  <c r="J48" i="14"/>
  <c r="J61" i="14"/>
  <c r="J72" i="14"/>
  <c r="J39" i="14"/>
  <c r="F110" i="14"/>
  <c r="F39" i="14"/>
  <c r="F48" i="14"/>
  <c r="F61" i="14"/>
  <c r="F72" i="14"/>
  <c r="K22" i="14"/>
  <c r="E22" i="14"/>
  <c r="F91" i="14"/>
  <c r="I175" i="14" l="1"/>
  <c r="K159" i="14"/>
  <c r="E159" i="14"/>
  <c r="J36" i="14"/>
  <c r="J99" i="14" s="1"/>
  <c r="K56" i="14"/>
  <c r="K68" i="14" s="1"/>
  <c r="J24" i="14"/>
  <c r="J26" i="14" s="1"/>
  <c r="J34" i="14" s="1"/>
  <c r="J35" i="14" s="1"/>
  <c r="G32" i="14"/>
  <c r="K28" i="14"/>
  <c r="J96" i="14"/>
  <c r="I37" i="14"/>
  <c r="I93" i="14" s="1"/>
  <c r="U104" i="14"/>
  <c r="U106" i="14"/>
  <c r="U117" i="14"/>
  <c r="U112" i="14"/>
  <c r="U93" i="14"/>
  <c r="U40" i="14"/>
  <c r="U37" i="14"/>
  <c r="U43" i="14"/>
  <c r="U52" i="14"/>
  <c r="U49" i="14"/>
  <c r="U26" i="14"/>
  <c r="U66" i="14"/>
  <c r="U62" i="14"/>
  <c r="U46" i="14"/>
  <c r="L75" i="14"/>
  <c r="F80" i="14"/>
  <c r="G63" i="14"/>
  <c r="H64" i="14" s="1"/>
  <c r="G68" i="14"/>
  <c r="G69" i="14" s="1"/>
  <c r="I63" i="14"/>
  <c r="J69" i="14"/>
  <c r="I66" i="14"/>
  <c r="L80" i="14"/>
  <c r="K36" i="14"/>
  <c r="K99" i="14" s="1"/>
  <c r="L31" i="14"/>
  <c r="K25" i="14"/>
  <c r="E31" i="14"/>
  <c r="E28" i="14"/>
  <c r="E56" i="14"/>
  <c r="E75" i="14" s="1"/>
  <c r="G29" i="14"/>
  <c r="E110" i="14"/>
  <c r="E39" i="14"/>
  <c r="E48" i="14"/>
  <c r="E61" i="14"/>
  <c r="E72" i="14"/>
  <c r="K110" i="14"/>
  <c r="K48" i="14"/>
  <c r="K61" i="14"/>
  <c r="K72" i="14"/>
  <c r="K39" i="14"/>
  <c r="L22" i="14"/>
  <c r="E91" i="14"/>
  <c r="I161" i="14" l="1"/>
  <c r="J175" i="14"/>
  <c r="K175" i="14"/>
  <c r="I178" i="14"/>
  <c r="L159" i="14"/>
  <c r="K96" i="14"/>
  <c r="I97" i="14"/>
  <c r="K24" i="14"/>
  <c r="K26" i="14" s="1"/>
  <c r="K34" i="14" s="1"/>
  <c r="K35" i="14" s="1"/>
  <c r="K95" i="14" s="1"/>
  <c r="K163" i="14" s="1"/>
  <c r="I98" i="14"/>
  <c r="L28" i="14"/>
  <c r="M28" i="14" s="1"/>
  <c r="L56" i="14"/>
  <c r="L68" i="14" s="1"/>
  <c r="F29" i="14"/>
  <c r="U28" i="14"/>
  <c r="F32" i="14"/>
  <c r="U31" i="14"/>
  <c r="M75" i="14"/>
  <c r="J37" i="14"/>
  <c r="J93" i="14" s="1"/>
  <c r="J95" i="14"/>
  <c r="J163" i="14" s="1"/>
  <c r="K69" i="14"/>
  <c r="J66" i="14"/>
  <c r="J63" i="14"/>
  <c r="I62" i="14"/>
  <c r="H70" i="14"/>
  <c r="E80" i="14"/>
  <c r="F63" i="14"/>
  <c r="F64" i="14" s="1"/>
  <c r="F68" i="14"/>
  <c r="F69" i="14" s="1"/>
  <c r="F70" i="14" s="1"/>
  <c r="M31" i="14"/>
  <c r="L25" i="14"/>
  <c r="M80" i="14"/>
  <c r="L110" i="14"/>
  <c r="L61" i="14"/>
  <c r="L72" i="14"/>
  <c r="L48" i="14"/>
  <c r="L39" i="14"/>
  <c r="M22" i="14"/>
  <c r="I106" i="14" l="1"/>
  <c r="J161" i="14"/>
  <c r="I185" i="14"/>
  <c r="I102" i="14"/>
  <c r="I104" i="14" s="1"/>
  <c r="J178" i="14"/>
  <c r="L24" i="14"/>
  <c r="L26" i="14" s="1"/>
  <c r="L34" i="14" s="1"/>
  <c r="L35" i="14" s="1"/>
  <c r="M159" i="14"/>
  <c r="I164" i="14"/>
  <c r="I166" i="14" s="1"/>
  <c r="G64" i="14"/>
  <c r="J176" i="14"/>
  <c r="I176" i="14"/>
  <c r="L36" i="14"/>
  <c r="L99" i="14" s="1"/>
  <c r="L96" i="14"/>
  <c r="M56" i="14"/>
  <c r="M68" i="14" s="1"/>
  <c r="I115" i="14"/>
  <c r="K37" i="14"/>
  <c r="K93" i="14" s="1"/>
  <c r="J98" i="14"/>
  <c r="J97" i="14"/>
  <c r="J106" i="14" s="1"/>
  <c r="N75" i="14"/>
  <c r="G70" i="14"/>
  <c r="J62" i="14"/>
  <c r="K63" i="14"/>
  <c r="L69" i="14"/>
  <c r="K66" i="14"/>
  <c r="N80" i="14"/>
  <c r="N31" i="14"/>
  <c r="M25" i="14"/>
  <c r="N28" i="14"/>
  <c r="M24" i="14"/>
  <c r="M110" i="14"/>
  <c r="M61" i="14"/>
  <c r="M72" i="14"/>
  <c r="M48" i="14"/>
  <c r="M39" i="14"/>
  <c r="N22" i="14"/>
  <c r="K161" i="14" l="1"/>
  <c r="J185" i="14"/>
  <c r="L175" i="14"/>
  <c r="K178" i="14"/>
  <c r="N159" i="14"/>
  <c r="J164" i="14"/>
  <c r="J166" i="14" s="1"/>
  <c r="I170" i="14"/>
  <c r="I180" i="14" s="1"/>
  <c r="I191" i="14"/>
  <c r="I192" i="14" s="1"/>
  <c r="I168" i="14"/>
  <c r="I167" i="14"/>
  <c r="K176" i="14"/>
  <c r="I186" i="14"/>
  <c r="I112" i="14"/>
  <c r="I116" i="14" s="1"/>
  <c r="N56" i="14"/>
  <c r="N68" i="14" s="1"/>
  <c r="M36" i="14"/>
  <c r="M99" i="14" s="1"/>
  <c r="I107" i="14"/>
  <c r="M96" i="14"/>
  <c r="J115" i="14"/>
  <c r="J102" i="14"/>
  <c r="J104" i="14" s="1"/>
  <c r="K98" i="14"/>
  <c r="K97" i="14"/>
  <c r="O75" i="14"/>
  <c r="L37" i="14"/>
  <c r="L93" i="14" s="1"/>
  <c r="L95" i="14"/>
  <c r="L163" i="14" s="1"/>
  <c r="M69" i="14"/>
  <c r="L66" i="14"/>
  <c r="K62" i="14"/>
  <c r="L63" i="14"/>
  <c r="O28" i="14"/>
  <c r="N24" i="14"/>
  <c r="M26" i="14"/>
  <c r="M34" i="14" s="1"/>
  <c r="M35" i="14" s="1"/>
  <c r="O31" i="14"/>
  <c r="N25" i="14"/>
  <c r="O80" i="14"/>
  <c r="N110" i="14"/>
  <c r="N72" i="14"/>
  <c r="N48" i="14"/>
  <c r="N39" i="14"/>
  <c r="N61" i="14"/>
  <c r="O22" i="14"/>
  <c r="N91" i="14"/>
  <c r="K106" i="14" l="1"/>
  <c r="L161" i="14"/>
  <c r="K185" i="14"/>
  <c r="M175" i="14"/>
  <c r="I172" i="14"/>
  <c r="K164" i="14"/>
  <c r="K166" i="14" s="1"/>
  <c r="L178" i="14"/>
  <c r="O159" i="14"/>
  <c r="L176" i="14"/>
  <c r="J191" i="14"/>
  <c r="J192" i="14" s="1"/>
  <c r="J170" i="14"/>
  <c r="J180" i="14" s="1"/>
  <c r="J167" i="14"/>
  <c r="J168" i="14"/>
  <c r="J186" i="14"/>
  <c r="O21" i="17"/>
  <c r="O39" i="17" s="1"/>
  <c r="D130" i="14" s="1"/>
  <c r="I114" i="14"/>
  <c r="I113" i="14"/>
  <c r="N96" i="14"/>
  <c r="N36" i="14"/>
  <c r="N99" i="14" s="1"/>
  <c r="O56" i="14"/>
  <c r="O68" i="14" s="1"/>
  <c r="K115" i="14"/>
  <c r="J107" i="14"/>
  <c r="J112" i="14"/>
  <c r="J116" i="14" s="1"/>
  <c r="K102" i="14"/>
  <c r="K104" i="14" s="1"/>
  <c r="M37" i="14"/>
  <c r="M93" i="14" s="1"/>
  <c r="M95" i="14"/>
  <c r="M163" i="14" s="1"/>
  <c r="L98" i="14"/>
  <c r="L97" i="14"/>
  <c r="P75" i="14"/>
  <c r="N69" i="14"/>
  <c r="M66" i="14"/>
  <c r="M63" i="14"/>
  <c r="L62" i="14"/>
  <c r="P80" i="14"/>
  <c r="P31" i="14"/>
  <c r="O25" i="14"/>
  <c r="N26" i="14"/>
  <c r="N34" i="14" s="1"/>
  <c r="P28" i="14"/>
  <c r="O24" i="14"/>
  <c r="O110" i="14"/>
  <c r="O72" i="14"/>
  <c r="O39" i="14"/>
  <c r="O48" i="14"/>
  <c r="O61" i="14"/>
  <c r="P22" i="14"/>
  <c r="O91" i="14"/>
  <c r="L106" i="14" l="1"/>
  <c r="M161" i="14"/>
  <c r="L185" i="14"/>
  <c r="N175" i="14"/>
  <c r="M178" i="14"/>
  <c r="P159" i="14"/>
  <c r="K186" i="14"/>
  <c r="L164" i="14"/>
  <c r="L166" i="14" s="1"/>
  <c r="J172" i="14"/>
  <c r="J114" i="14"/>
  <c r="J113" i="14"/>
  <c r="K167" i="14"/>
  <c r="K170" i="14"/>
  <c r="K180" i="14" s="1"/>
  <c r="K191" i="14"/>
  <c r="K192" i="14" s="1"/>
  <c r="K168" i="14"/>
  <c r="M176" i="14"/>
  <c r="O36" i="14"/>
  <c r="O99" i="14" s="1"/>
  <c r="O96" i="14"/>
  <c r="P56" i="14"/>
  <c r="P68" i="14" s="1"/>
  <c r="P21" i="17"/>
  <c r="W21" i="17" s="1"/>
  <c r="L115" i="14"/>
  <c r="K107" i="14"/>
  <c r="K112" i="14"/>
  <c r="K116" i="14" s="1"/>
  <c r="L102" i="14"/>
  <c r="L104" i="14" s="1"/>
  <c r="O26" i="14"/>
  <c r="O34" i="14" s="1"/>
  <c r="O35" i="14" s="1"/>
  <c r="O95" i="14" s="1"/>
  <c r="O163" i="14" s="1"/>
  <c r="Q75" i="14"/>
  <c r="M98" i="14"/>
  <c r="M97" i="14"/>
  <c r="M164" i="14" s="1"/>
  <c r="N63" i="14"/>
  <c r="M62" i="14"/>
  <c r="O69" i="14"/>
  <c r="N66" i="14"/>
  <c r="Q28" i="14"/>
  <c r="P24" i="14"/>
  <c r="N35" i="14"/>
  <c r="N95" i="14" s="1"/>
  <c r="N163" i="14" s="1"/>
  <c r="Q31" i="14"/>
  <c r="P25" i="14"/>
  <c r="Q80" i="14"/>
  <c r="P110" i="14"/>
  <c r="P48" i="14"/>
  <c r="P39" i="14"/>
  <c r="P61" i="14"/>
  <c r="P72" i="14"/>
  <c r="Q22" i="14"/>
  <c r="P91" i="14"/>
  <c r="M106" i="14" l="1"/>
  <c r="M185" i="14"/>
  <c r="O175" i="14"/>
  <c r="Q159" i="14"/>
  <c r="L167" i="14"/>
  <c r="L170" i="14"/>
  <c r="L180" i="14" s="1"/>
  <c r="L191" i="14"/>
  <c r="L192" i="14" s="1"/>
  <c r="L168" i="14"/>
  <c r="L186" i="14"/>
  <c r="K113" i="14"/>
  <c r="K114" i="14"/>
  <c r="L172" i="14"/>
  <c r="P96" i="14"/>
  <c r="M166" i="14"/>
  <c r="K172" i="14"/>
  <c r="Q56" i="14"/>
  <c r="Q68" i="14" s="1"/>
  <c r="P39" i="17"/>
  <c r="P36" i="14"/>
  <c r="P99" i="14" s="1"/>
  <c r="M102" i="14"/>
  <c r="M104" i="14" s="1"/>
  <c r="M115" i="14"/>
  <c r="L107" i="14"/>
  <c r="L112" i="14"/>
  <c r="L116" i="14" s="1"/>
  <c r="O37" i="14"/>
  <c r="O93" i="14" s="1"/>
  <c r="N37" i="14"/>
  <c r="N93" i="14" s="1"/>
  <c r="R75" i="14"/>
  <c r="N62" i="14"/>
  <c r="O63" i="14"/>
  <c r="P69" i="14"/>
  <c r="O66" i="14"/>
  <c r="R80" i="14"/>
  <c r="R31" i="14"/>
  <c r="Q25" i="14"/>
  <c r="P26" i="14"/>
  <c r="P34" i="14" s="1"/>
  <c r="R28" i="14"/>
  <c r="Q24" i="14"/>
  <c r="Q110" i="14"/>
  <c r="Q61" i="14"/>
  <c r="Q72" i="14"/>
  <c r="Q39" i="14"/>
  <c r="Q48" i="14"/>
  <c r="R22" i="14"/>
  <c r="Q91" i="14"/>
  <c r="N161" i="14" l="1"/>
  <c r="O161" i="14"/>
  <c r="P175" i="14"/>
  <c r="N185" i="14"/>
  <c r="N178" i="14"/>
  <c r="O178" i="14"/>
  <c r="R159" i="14"/>
  <c r="M186" i="14"/>
  <c r="Q96" i="14"/>
  <c r="L113" i="14"/>
  <c r="L114" i="14"/>
  <c r="N176" i="14"/>
  <c r="M167" i="14"/>
  <c r="M191" i="14"/>
  <c r="M192" i="14" s="1"/>
  <c r="M168" i="14"/>
  <c r="M170" i="14"/>
  <c r="M180" i="14" s="1"/>
  <c r="O176" i="14"/>
  <c r="Q36" i="14"/>
  <c r="Q99" i="14" s="1"/>
  <c r="M107" i="14"/>
  <c r="V28" i="14"/>
  <c r="M112" i="14"/>
  <c r="M116" i="14" s="1"/>
  <c r="N115" i="14"/>
  <c r="Q26" i="14"/>
  <c r="Q34" i="14" s="1"/>
  <c r="Q35" i="14" s="1"/>
  <c r="Q95" i="14" s="1"/>
  <c r="Q163" i="14" s="1"/>
  <c r="R56" i="14"/>
  <c r="R68" i="14" s="1"/>
  <c r="V40" i="14"/>
  <c r="V49" i="14"/>
  <c r="V46" i="14"/>
  <c r="V43" i="14"/>
  <c r="V52" i="14"/>
  <c r="V31" i="14"/>
  <c r="N98" i="14"/>
  <c r="N97" i="14"/>
  <c r="O98" i="14"/>
  <c r="O97" i="14"/>
  <c r="Q69" i="14"/>
  <c r="P66" i="14"/>
  <c r="R24" i="14"/>
  <c r="P63" i="14"/>
  <c r="O62" i="14"/>
  <c r="P35" i="14"/>
  <c r="P95" i="14" s="1"/>
  <c r="P163" i="14" s="1"/>
  <c r="R25" i="14"/>
  <c r="R110" i="14"/>
  <c r="R39" i="14"/>
  <c r="R48" i="14"/>
  <c r="R61" i="14"/>
  <c r="R72" i="14"/>
  <c r="R91" i="14"/>
  <c r="D22" i="14"/>
  <c r="N164" i="14" l="1"/>
  <c r="O106" i="14"/>
  <c r="N106" i="14"/>
  <c r="O164" i="14"/>
  <c r="O166" i="14" s="1"/>
  <c r="O191" i="14" s="1"/>
  <c r="O185" i="14"/>
  <c r="Q175" i="14"/>
  <c r="D159" i="14"/>
  <c r="N186" i="14"/>
  <c r="M113" i="14"/>
  <c r="M114" i="14"/>
  <c r="N166" i="14"/>
  <c r="N168" i="14" s="1"/>
  <c r="M172" i="14"/>
  <c r="O115" i="14"/>
  <c r="R36" i="14"/>
  <c r="R99" i="14" s="1"/>
  <c r="Q37" i="14"/>
  <c r="Q93" i="14" s="1"/>
  <c r="R96" i="14"/>
  <c r="O102" i="14"/>
  <c r="O104" i="14" s="1"/>
  <c r="R26" i="14"/>
  <c r="N102" i="14"/>
  <c r="N104" i="14" s="1"/>
  <c r="P37" i="14"/>
  <c r="P93" i="14" s="1"/>
  <c r="Q63" i="14"/>
  <c r="P62" i="14"/>
  <c r="R69" i="14"/>
  <c r="R66" i="14" s="1"/>
  <c r="V66" i="14" s="1"/>
  <c r="Q66" i="14"/>
  <c r="D110" i="14"/>
  <c r="D91" i="14"/>
  <c r="N170" i="14" l="1"/>
  <c r="N180" i="14" s="1"/>
  <c r="P161" i="14"/>
  <c r="Q161" i="14"/>
  <c r="N167" i="14"/>
  <c r="N191" i="14"/>
  <c r="N192" i="14" s="1"/>
  <c r="R175" i="14"/>
  <c r="P185" i="14"/>
  <c r="O170" i="14"/>
  <c r="O180" i="14" s="1"/>
  <c r="P178" i="14"/>
  <c r="Q178" i="14"/>
  <c r="O192" i="14"/>
  <c r="O168" i="14"/>
  <c r="O167" i="14"/>
  <c r="O186" i="14"/>
  <c r="N172" i="14"/>
  <c r="P176" i="14"/>
  <c r="N107" i="14"/>
  <c r="N112" i="14"/>
  <c r="N116" i="14" s="1"/>
  <c r="O107" i="14"/>
  <c r="O112" i="14"/>
  <c r="O116" i="14" s="1"/>
  <c r="P115" i="14"/>
  <c r="R34" i="14"/>
  <c r="R35" i="14" s="1"/>
  <c r="R95" i="14" s="1"/>
  <c r="R163" i="14" s="1"/>
  <c r="V26" i="14"/>
  <c r="Q97" i="14"/>
  <c r="Q98" i="14"/>
  <c r="P97" i="14"/>
  <c r="P98" i="14"/>
  <c r="R63" i="14"/>
  <c r="R62" i="14" s="1"/>
  <c r="Q62" i="14"/>
  <c r="I90" i="14"/>
  <c r="P106" i="14" l="1"/>
  <c r="Q106" i="14"/>
  <c r="Q185" i="14"/>
  <c r="R185" i="14"/>
  <c r="O172" i="14"/>
  <c r="R115" i="14"/>
  <c r="Q164" i="14"/>
  <c r="Q166" i="14" s="1"/>
  <c r="P186" i="14"/>
  <c r="P164" i="14"/>
  <c r="P166" i="14" s="1"/>
  <c r="O114" i="14"/>
  <c r="O113" i="14"/>
  <c r="N113" i="14"/>
  <c r="N114" i="14"/>
  <c r="Q115" i="14"/>
  <c r="Q102" i="14"/>
  <c r="Q104" i="14" s="1"/>
  <c r="V62" i="14"/>
  <c r="R37" i="14"/>
  <c r="P102" i="14"/>
  <c r="P104" i="14" s="1"/>
  <c r="L91" i="14"/>
  <c r="M91" i="14"/>
  <c r="K91" i="14"/>
  <c r="J91" i="14"/>
  <c r="I91" i="14"/>
  <c r="Q186" i="14" l="1"/>
  <c r="Q170" i="14"/>
  <c r="Q180" i="14" s="1"/>
  <c r="Q167" i="14"/>
  <c r="Q168" i="14"/>
  <c r="Q191" i="14"/>
  <c r="P170" i="14"/>
  <c r="P180" i="14" s="1"/>
  <c r="P191" i="14"/>
  <c r="P192" i="14" s="1"/>
  <c r="P168" i="14"/>
  <c r="P167" i="14"/>
  <c r="Q107" i="14"/>
  <c r="Q112" i="14"/>
  <c r="Q116" i="14" s="1"/>
  <c r="P107" i="14"/>
  <c r="P112" i="14"/>
  <c r="P116" i="14" s="1"/>
  <c r="R93" i="14"/>
  <c r="V37" i="14"/>
  <c r="R161" i="14" l="1"/>
  <c r="R178" i="14"/>
  <c r="P114" i="14"/>
  <c r="P113" i="14"/>
  <c r="Q114" i="14"/>
  <c r="Q113" i="14"/>
  <c r="Q172" i="14"/>
  <c r="P172" i="14"/>
  <c r="Q192" i="14"/>
  <c r="R176" i="14"/>
  <c r="V93" i="14"/>
  <c r="R98" i="14"/>
  <c r="R97" i="14"/>
  <c r="R106" i="14" s="1"/>
  <c r="R164" i="14" l="1"/>
  <c r="R166" i="14" s="1"/>
  <c r="R186" i="14"/>
  <c r="R102" i="14"/>
  <c r="R104" i="14" s="1"/>
  <c r="V104" i="14" s="1"/>
  <c r="R167" i="14" l="1"/>
  <c r="R168" i="14"/>
  <c r="R170" i="14"/>
  <c r="R180" i="14" s="1"/>
  <c r="R191" i="14"/>
  <c r="R112" i="14"/>
  <c r="R116" i="14" s="1"/>
  <c r="R107" i="14"/>
  <c r="V106" i="14"/>
  <c r="V112" i="14" l="1"/>
  <c r="R114" i="14"/>
  <c r="R113" i="14"/>
  <c r="D133" i="14"/>
  <c r="R192" i="14"/>
  <c r="R172" i="14"/>
  <c r="D136" i="14" l="1"/>
  <c r="I117" i="14" l="1"/>
  <c r="I182" i="14" s="1"/>
  <c r="I188" i="14" s="1"/>
  <c r="I189" i="14" s="1"/>
  <c r="I119" i="14"/>
  <c r="R21" i="17"/>
  <c r="Z21" i="17"/>
  <c r="R39" i="17" l="1"/>
  <c r="Y21" i="17"/>
  <c r="J117" i="14" l="1"/>
  <c r="J119" i="14" s="1"/>
  <c r="S21" i="17" l="1"/>
  <c r="X21" i="17" s="1"/>
  <c r="S39" i="17" l="1"/>
  <c r="J182" i="14" s="1"/>
  <c r="J188" i="14" s="1"/>
  <c r="J189" i="14" l="1"/>
  <c r="K117" i="14"/>
  <c r="K119" i="14" s="1"/>
  <c r="K182" i="14" s="1"/>
  <c r="K188" i="14" s="1"/>
  <c r="K189" i="14" s="1"/>
  <c r="L117" i="14"/>
  <c r="L119" i="14" s="1"/>
  <c r="L182" i="14" s="1"/>
  <c r="L188" i="14" s="1"/>
  <c r="L189" i="14" l="1"/>
  <c r="M117" i="14"/>
  <c r="M119" i="14" s="1"/>
  <c r="M182" i="14" s="1"/>
  <c r="M188" i="14" s="1"/>
  <c r="M189" i="14" l="1"/>
  <c r="N117" i="14" l="1"/>
  <c r="N182" i="14" s="1"/>
  <c r="N188" i="14" s="1"/>
  <c r="N189" i="14" s="1"/>
  <c r="N119" i="14"/>
  <c r="O117" i="14" l="1"/>
  <c r="O182" i="14" s="1"/>
  <c r="O188" i="14" s="1"/>
  <c r="O189" i="14" s="1"/>
  <c r="O119" i="14"/>
  <c r="P117" i="14"/>
  <c r="P119" i="14" s="1"/>
  <c r="P182" i="14" s="1"/>
  <c r="P188" i="14" s="1"/>
  <c r="P189" i="14" l="1"/>
  <c r="Q117" i="14"/>
  <c r="Q119" i="14" s="1"/>
  <c r="Q182" i="14" s="1"/>
  <c r="Q188" i="14" s="1"/>
  <c r="Q189" i="14" l="1"/>
  <c r="R117" i="14"/>
  <c r="R119" i="14" s="1"/>
  <c r="V117" i="14" l="1"/>
  <c r="R182" i="14" s="1"/>
  <c r="R188" i="14" s="1"/>
  <c r="R189" i="14" l="1"/>
  <c r="I133" i="14"/>
  <c r="I136" i="14" s="1"/>
  <c r="D134" i="14"/>
  <c r="D137" i="14"/>
  <c r="D138" i="14" s="1"/>
  <c r="D140" i="14" s="1"/>
  <c r="I137" i="14"/>
  <c r="I134" i="14" l="1"/>
  <c r="D151" i="14"/>
  <c r="D155" i="14" s="1"/>
  <c r="D156" i="14" s="1"/>
  <c r="I138" i="14"/>
  <c r="I151" i="14" s="1"/>
  <c r="I155" i="14" s="1"/>
  <c r="D197" i="14" l="1"/>
  <c r="I140" i="14"/>
  <c r="I156" i="14"/>
  <c r="D205" i="14"/>
  <c r="Q176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F6" authorId="0" shapeId="0" xr:uid="{E463782E-984F-489F-B548-0332807F8E6C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10-year UST yield on valuation date.</t>
        </r>
      </text>
    </comment>
    <comment ref="F7" authorId="0" shapeId="0" xr:uid="{E7947462-0BB3-4E8F-BB1C-63405BE1B8FC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Average ERP at the time of the valuation.</t>
        </r>
      </text>
    </comment>
    <comment ref="F8" authorId="0" shapeId="0" xr:uid="{27F608FA-F411-43B9-AFD4-EBE09C0FEAC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Based on weighted average YTM of current bond issuances.</t>
        </r>
      </text>
    </comment>
    <comment ref="F9" authorId="0" shapeId="0" xr:uid="{AE3DC37A-C6CC-4923-8C15-DE91C3AA64F6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Averaging the approximate Cost of Preferred for the 3 public comps with Preferred.</t>
        </r>
      </text>
    </comment>
  </commentList>
</comments>
</file>

<file path=xl/sharedStrings.xml><?xml version="1.0" encoding="utf-8"?>
<sst xmlns="http://schemas.openxmlformats.org/spreadsheetml/2006/main" count="406" uniqueCount="231">
  <si>
    <t>Company Name:</t>
  </si>
  <si>
    <t>Current Share Price:</t>
  </si>
  <si>
    <t>Date</t>
  </si>
  <si>
    <t>Risk-Free Rate:</t>
  </si>
  <si>
    <t>Equity Risk Premium:</t>
  </si>
  <si>
    <t>Name</t>
  </si>
  <si>
    <t>%</t>
  </si>
  <si>
    <t>Conversion Units:</t>
  </si>
  <si>
    <t>Ticker:</t>
  </si>
  <si>
    <t>#</t>
  </si>
  <si>
    <t>Last Fiscal Year:</t>
  </si>
  <si>
    <t>$ / Share</t>
  </si>
  <si>
    <t>M Shares</t>
  </si>
  <si>
    <t>Projected:</t>
  </si>
  <si>
    <t>Historical:</t>
  </si>
  <si>
    <t>(+) Depreciation &amp; Amortization:</t>
  </si>
  <si>
    <t>EBITDA:</t>
  </si>
  <si>
    <t>Assumptions and Drivers:</t>
  </si>
  <si>
    <t>Annual Growth Rate:</t>
  </si>
  <si>
    <t>Capital Expenditures:</t>
  </si>
  <si>
    <t>Maintenance CapEx:</t>
  </si>
  <si>
    <t>Growth CapEx:</t>
  </si>
  <si>
    <t>Capacity Growth from CapEx:</t>
  </si>
  <si>
    <t>Units:</t>
  </si>
  <si>
    <t>$ M</t>
  </si>
  <si>
    <t>Valuation Date:</t>
  </si>
  <si>
    <t>Margin:</t>
  </si>
  <si>
    <t>(-) Operations &amp; Maintenance:</t>
  </si>
  <si>
    <t>(-) Depreciation &amp; Amortization:</t>
  </si>
  <si>
    <t>Maintenance CapEx per Total Capacity:</t>
  </si>
  <si>
    <t>Effective Tax Rate (Book Taxes):</t>
  </si>
  <si>
    <t>$ / Bbl</t>
  </si>
  <si>
    <t>MBbl / d</t>
  </si>
  <si>
    <t>Natural Gas:</t>
  </si>
  <si>
    <t>Mmcf / d</t>
  </si>
  <si>
    <t>Natural Gas - per Mcf:</t>
  </si>
  <si>
    <t>$ / Mcf</t>
  </si>
  <si>
    <t>Average Daily Throughput by Segment:</t>
  </si>
  <si>
    <t>Average Daily Capacity by Segment:</t>
  </si>
  <si>
    <t>Crude Oil, NGLs, and Water:</t>
  </si>
  <si>
    <t>Crude Oil, NGLs, and Water - per Bbl:</t>
  </si>
  <si>
    <t>Natural Gas Utilization Rate:</t>
  </si>
  <si>
    <t>Crude Oil, NGLs, and Water Utilization Rate:</t>
  </si>
  <si>
    <t>Total Gross Margin:</t>
  </si>
  <si>
    <t>Bbl to Mcfe Conversion Factor:</t>
  </si>
  <si>
    <t>Total Revenue:</t>
  </si>
  <si>
    <t>(-) Cost of Product:</t>
  </si>
  <si>
    <t>"Gas-Equivalent" Daily Throughput:</t>
  </si>
  <si>
    <t>"Gas-Equivalent" Daily Capacity:</t>
  </si>
  <si>
    <t>Mmcfe / d</t>
  </si>
  <si>
    <t>Revenue, Gross Margins, and Per-Unit Rates:</t>
  </si>
  <si>
    <t>Western Midstream Partners, LP</t>
  </si>
  <si>
    <t>Diluted Units Outstanding:</t>
  </si>
  <si>
    <t>(-) General &amp; Administrative:</t>
  </si>
  <si>
    <t>(-) Property &amp; Other Taxes:</t>
  </si>
  <si>
    <t>(-) Asset Impairments:</t>
  </si>
  <si>
    <t>Operating Income:</t>
  </si>
  <si>
    <t>Gross Margin:</t>
  </si>
  <si>
    <t>(+) Estimated Cost of Product:</t>
  </si>
  <si>
    <t>Cost of Product % Gross Margin:</t>
  </si>
  <si>
    <t>G&amp;A % Revenue:</t>
  </si>
  <si>
    <t>Property &amp; Other Taxes % Revenue:</t>
  </si>
  <si>
    <t>(+/-) Deferred Income Taxes:</t>
  </si>
  <si>
    <t>(+) Accretion of Asset Retirement Obligation:</t>
  </si>
  <si>
    <t>(+) Gains / (-) Losses:</t>
  </si>
  <si>
    <t>Maintenance CapEx Split (Historical):</t>
  </si>
  <si>
    <t>"Gas-Equivalent" Annual Capacity:</t>
  </si>
  <si>
    <t>Bcfe / y</t>
  </si>
  <si>
    <t>$ / Mcfe / y</t>
  </si>
  <si>
    <t>O&amp;M per Annual Capacity:</t>
  </si>
  <si>
    <t>D&amp;A per Annual Capacity:</t>
  </si>
  <si>
    <t>Deferred Income Taxes % Book Taxes:</t>
  </si>
  <si>
    <t>Accretion of ARO % Revenue:</t>
  </si>
  <si>
    <t>Operating Assumptions:</t>
  </si>
  <si>
    <t>(-) Cash Taxes:</t>
  </si>
  <si>
    <t>(-) Maintenance CapEx:</t>
  </si>
  <si>
    <t>x</t>
  </si>
  <si>
    <t>Current Equity Value:</t>
  </si>
  <si>
    <t>(-) Cash &amp; Investments:</t>
  </si>
  <si>
    <t>(-) Net Operating Losses:</t>
  </si>
  <si>
    <t>(+) Debt:</t>
  </si>
  <si>
    <t>(+) Finance Leases:</t>
  </si>
  <si>
    <t>(+) Asset Retirement Obligations:</t>
  </si>
  <si>
    <t>(+) Unfunded Pensions:</t>
  </si>
  <si>
    <t>(+) Preferred Stock:</t>
  </si>
  <si>
    <t>Current Enterprise Value:</t>
  </si>
  <si>
    <t>(-) Equity Investments:</t>
  </si>
  <si>
    <t>Terminal Value - Multiples Method:</t>
  </si>
  <si>
    <t>Terminal Value - Perpetuity Growth Method:</t>
  </si>
  <si>
    <t>Expected Long-Term GDP Growth:</t>
  </si>
  <si>
    <t>Diluted Shares Outstanding:</t>
  </si>
  <si>
    <t>Baseline Terminal EBITDA Multiple:</t>
  </si>
  <si>
    <t>Baseline Terminal FCF Growth Rate:</t>
  </si>
  <si>
    <t>Baseline Terminal Value:</t>
  </si>
  <si>
    <t>Discount Rate (WACC):</t>
  </si>
  <si>
    <t>Implied Terminal FCF Growth Rate:</t>
  </si>
  <si>
    <t>Implied Terminal EBITDA Multiple:</t>
  </si>
  <si>
    <t>(+) PV of Terminal Value:</t>
  </si>
  <si>
    <t>(+) PV of UFCFs:</t>
  </si>
  <si>
    <t>Implied Enterprise Value:</t>
  </si>
  <si>
    <t>% of Implied TEV from Terminal Value:</t>
  </si>
  <si>
    <t>(+) Cash &amp; Investments:</t>
  </si>
  <si>
    <t>(+) Net Operating Losses:</t>
  </si>
  <si>
    <t>(-) Preferred Stock:</t>
  </si>
  <si>
    <t>(-) Unfunded Pensions:</t>
  </si>
  <si>
    <t>Implied Equity Value:</t>
  </si>
  <si>
    <t>Premium / (Discount) to Current:</t>
  </si>
  <si>
    <t>Revenue:</t>
  </si>
  <si>
    <t>(-) COGS:</t>
  </si>
  <si>
    <t>(-) Operating Expenses:</t>
  </si>
  <si>
    <t>Operating Income (EBIT):</t>
  </si>
  <si>
    <t>Operating Margin:</t>
  </si>
  <si>
    <t>Growth Rate:</t>
  </si>
  <si>
    <t>(-) Taxes, Excluding Effect of Interest:</t>
  </si>
  <si>
    <t>Net Operating Profit After Taxes (NOPAT):</t>
  </si>
  <si>
    <t>Adjustments for Non-Cash Charges:</t>
  </si>
  <si>
    <t>D&amp;A % Revenue:</t>
  </si>
  <si>
    <t>(+/-) Net Change in Working Capital:</t>
  </si>
  <si>
    <t>% Revenue:</t>
  </si>
  <si>
    <t>(-) Capital Expenditures:</t>
  </si>
  <si>
    <t>Unlevered Free Cash Flow:</t>
  </si>
  <si>
    <t>Sensitivity Analyses:</t>
  </si>
  <si>
    <t>Terminal TEV / EBITDA Multiple:</t>
  </si>
  <si>
    <t>Terminal FCF Growth Rate:</t>
  </si>
  <si>
    <t>Discount Rate Calculations - Assumptions:</t>
  </si>
  <si>
    <t>Pre-Tax Cost of Debt:</t>
  </si>
  <si>
    <t>Cost of Preferred Stock:</t>
  </si>
  <si>
    <t>Comparable Companies - Unlevered Beta Calculation:</t>
  </si>
  <si>
    <t>Levered</t>
  </si>
  <si>
    <t>Preferred</t>
  </si>
  <si>
    <t>Equity</t>
  </si>
  <si>
    <t>Unlevered</t>
  </si>
  <si>
    <t>Ticker</t>
  </si>
  <si>
    <t>Beta</t>
  </si>
  <si>
    <t>Debt</t>
  </si>
  <si>
    <t>% Debt</t>
  </si>
  <si>
    <t>% Preferred</t>
  </si>
  <si>
    <t>Value</t>
  </si>
  <si>
    <t>% Equity</t>
  </si>
  <si>
    <t>Tax Rate</t>
  </si>
  <si>
    <t>Median:</t>
  </si>
  <si>
    <t>Current Capital Structure:</t>
  </si>
  <si>
    <t>"Optimal" Capital Structure:</t>
  </si>
  <si>
    <t>Cost of Equity Based on Comparables, Current Capital Structure:</t>
  </si>
  <si>
    <t>Cost of Equity Based on Comparables, "Optimal" Capital Structure:</t>
  </si>
  <si>
    <t>Cost of Equity Based on Historical Beta:</t>
  </si>
  <si>
    <t>WACC, Current Capital Structure:</t>
  </si>
  <si>
    <t>WACC, "Optimal" Capital Structure:</t>
  </si>
  <si>
    <t>WACC, Current Capital Structure and Historical Cost of Equity:</t>
  </si>
  <si>
    <t>Average WACC Produced by All Methods:</t>
  </si>
  <si>
    <t>DCF Assumptions &amp; Output:</t>
  </si>
  <si>
    <t>Median Forward TEV / EBITDA of Comps:</t>
  </si>
  <si>
    <t>(+) Equity Investments:</t>
  </si>
  <si>
    <t>(-) Debt:</t>
  </si>
  <si>
    <t>(-) Finance Leases:</t>
  </si>
  <si>
    <t>(-) Asset Retirement Obligations:</t>
  </si>
  <si>
    <t>Implied Unit Price from DCF:</t>
  </si>
  <si>
    <t>Operating Statistics:</t>
  </si>
  <si>
    <t>Capitalization</t>
  </si>
  <si>
    <t>Share</t>
  </si>
  <si>
    <t>Other &amp;</t>
  </si>
  <si>
    <t>Cash &amp; Non-</t>
  </si>
  <si>
    <t>Enterprise</t>
  </si>
  <si>
    <t>Company Name</t>
  </si>
  <si>
    <t>Price</t>
  </si>
  <si>
    <t>NCI</t>
  </si>
  <si>
    <t>Core Assets</t>
  </si>
  <si>
    <t>Maximum</t>
  </si>
  <si>
    <t>75th Percentile</t>
  </si>
  <si>
    <t>Median</t>
  </si>
  <si>
    <t>25th Percentile</t>
  </si>
  <si>
    <t>Minimum</t>
  </si>
  <si>
    <t>Valuation Statistics:</t>
  </si>
  <si>
    <t>Enterprise Value /</t>
  </si>
  <si>
    <t>Units</t>
  </si>
  <si>
    <t>($ in Millions USD Except Per Share Amounts in USD as Stated and Per Unit Figures)</t>
  </si>
  <si>
    <t>Coverage</t>
  </si>
  <si>
    <t>Ratio:</t>
  </si>
  <si>
    <t>Yield:</t>
  </si>
  <si>
    <t>Equity Value /</t>
  </si>
  <si>
    <t>EBITDA</t>
  </si>
  <si>
    <t>LP Diluted</t>
  </si>
  <si>
    <t>NYSE:WES</t>
  </si>
  <si>
    <t>Maturity:</t>
  </si>
  <si>
    <t>FV:</t>
  </si>
  <si>
    <t>Principal:</t>
  </si>
  <si>
    <t>YTM:</t>
  </si>
  <si>
    <t>Coupon:</t>
  </si>
  <si>
    <t>TOTAL:</t>
  </si>
  <si>
    <t>Forward TEV / EBITDA of Subject Company:</t>
  </si>
  <si>
    <t>Forward</t>
  </si>
  <si>
    <t>Average Cost of Equity Produced by All Methods:</t>
  </si>
  <si>
    <t>(-) Cash Interest Expense:</t>
  </si>
  <si>
    <t>Cost of Debt Calculations:</t>
  </si>
  <si>
    <t>Total COGS and Operating Expenses:</t>
  </si>
  <si>
    <t>Projected</t>
  </si>
  <si>
    <t>CAGR:</t>
  </si>
  <si>
    <t>Historical</t>
  </si>
  <si>
    <t>Growth CapEx per Capacity Growth Unit:</t>
  </si>
  <si>
    <t>(+) Noncontrolling Interests:</t>
  </si>
  <si>
    <t>(-) Noncontrolling Interests:</t>
  </si>
  <si>
    <t>Plains All American Pipeline, L.P.</t>
  </si>
  <si>
    <t>NasdaqGS:PAA</t>
  </si>
  <si>
    <t>Cheniere Energy Partners, L.P.</t>
  </si>
  <si>
    <t>NYSE:CQP</t>
  </si>
  <si>
    <t>Hess Midstream LP</t>
  </si>
  <si>
    <t>NYSE:HESM</t>
  </si>
  <si>
    <t>Genesis Energy, L.P.</t>
  </si>
  <si>
    <t>NYSE:GEL</t>
  </si>
  <si>
    <t>NGL Energy Partners LP</t>
  </si>
  <si>
    <t>NYSE:NGL</t>
  </si>
  <si>
    <t>Pref</t>
  </si>
  <si>
    <t>Eq Val</t>
  </si>
  <si>
    <t>Comparable Public Companies - U.S.-Based Midstream MLPs with LTM EBITDA Between $500 Million and $5 Billion</t>
  </si>
  <si>
    <t>Distributions to Limited Partners:</t>
  </si>
  <si>
    <t>Distributable Cash Flow (DCF):</t>
  </si>
  <si>
    <t>Cash Interest Expense % EBITDA:</t>
  </si>
  <si>
    <t>Cash Taxes % EBITDA:</t>
  </si>
  <si>
    <t>(+/-) Distributions from/to Eq. Inv. and NCI:</t>
  </si>
  <si>
    <t>Distributions from/to Eq. Inv. and NCI % EBITDA:</t>
  </si>
  <si>
    <t>Partial Income Statement:</t>
  </si>
  <si>
    <t>Partial IS and CFS Forecasts:</t>
  </si>
  <si>
    <t>Distribution Estimates:</t>
  </si>
  <si>
    <t>Distribution Coverage Ratio (DCR):</t>
  </si>
  <si>
    <t>LTM</t>
  </si>
  <si>
    <t>2-Year CAGR</t>
  </si>
  <si>
    <t>DCF</t>
  </si>
  <si>
    <t>Distributions:</t>
  </si>
  <si>
    <t>Distrib.</t>
  </si>
  <si>
    <t>Distributable Cash Flow</t>
  </si>
  <si>
    <t>Unlevered FCF Projections: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</si>
</sst>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_);_(@_)"/>
    <numFmt numFmtId="165" formatCode="0.0%;\(0.0%\)"/>
    <numFmt numFmtId="166" formatCode="_(* #,##0.0_);_(* \(#,##0.0\);_(* &quot;-&quot;?_);_(@_)"/>
    <numFmt numFmtId="167" formatCode="_(0.0\ \x_);\(0.0\ \x\);_(&quot;–&quot;_);_(@_)"/>
    <numFmt numFmtId="168" formatCode="_(0.0%_);\(0.0%\);_(&quot;–&quot;_);_(@_)"/>
    <numFmt numFmtId="169" formatCode="0.0\ \x"/>
    <numFmt numFmtId="170" formatCode="_(* #,##0.000_);_(* \(#,##0.000\);_(* &quot;-&quot;???_);_(@_)"/>
    <numFmt numFmtId="171" formatCode="_(* #,##0_);_(* \(#,##0\);_(* &quot;-&quot;????_);_(@_)"/>
    <numFmt numFmtId="172" formatCode="_(#,##0.00%_);\(#,##0.00%\);_(&quot;–&quot;_)_%;_(@_)_%"/>
    <numFmt numFmtId="173" formatCode="yyyy\-mm\-dd"/>
    <numFmt numFmtId="174" formatCode="&quot;FY&quot;yy"/>
    <numFmt numFmtId="175" formatCode="_(* #,##0.000_);_(* \(#,##0.000\);_(* &quot;-&quot;?_);_(@_)"/>
    <numFmt numFmtId="176" formatCode="_(&quot;$&quot;* #,##0.000_);_(&quot;$&quot;* \(#,##0.000\);_(&quot;$&quot;* &quot;-&quot;???_);_(@_)"/>
    <numFmt numFmtId="177" formatCode="_(&quot;$&quot;* #,##0.000_);_(&quot;$&quot;* \(#,##0.000\);_(&quot;$&quot;* &quot;-&quot;??_);_(@_)"/>
    <numFmt numFmtId="178" formatCode="0.0%"/>
    <numFmt numFmtId="179" formatCode="_(&quot;$&quot;* #,##0.00_);_(&quot;$&quot;* \(#,##0.00\);_(&quot;$&quot;* &quot;-&quot;???_);_(@_)"/>
    <numFmt numFmtId="180" formatCode="_(&quot;$&quot;* #,##0.0000_);_(&quot;$&quot;* \(#,##0.0000\);_(&quot;$&quot;* &quot;-&quot;??_);_(@_)"/>
    <numFmt numFmtId="181" formatCode="_(* #,##0.0000_);_(* \(#,##0.0000\);_(* &quot;-&quot;???_);_(@_)"/>
    <numFmt numFmtId="182" formatCode="_(0.0%_);\(0.0%\);_(&quot;–&quot;_)_%;_(@_)_%"/>
    <numFmt numFmtId="183" formatCode="_([$$-409]* #,##0.0_);_([$$-409]* \(#,##0.0\);_([$$-409]* &quot;-&quot;_);_(@_)"/>
    <numFmt numFmtId="184" formatCode="_(&quot;$&quot;* #,##0.0_);_(&quot;$&quot;* \(#,##0.0\);_(&quot;$&quot;* &quot;-&quot;??_);_(@_)"/>
    <numFmt numFmtId="185" formatCode="_(* #,##0.0_);_(* \(#,##0.0\);_(* &quot;-&quot;??_);_(@_)"/>
    <numFmt numFmtId="186" formatCode="0.00%_);\(0.00%\);\-_%_);@_)"/>
    <numFmt numFmtId="187" formatCode="0.00\ \x;\(0.00\ \x\)"/>
    <numFmt numFmtId="188" formatCode="0.00%;\(0.00%\)"/>
    <numFmt numFmtId="189" formatCode="_(0.00%_);\(0.00%\);_(&quot;–&quot;_)_%;_(@_)_%"/>
    <numFmt numFmtId="190" formatCode="_(#,##0.00_)_%;\(#,##0.00\)_%;_(&quot;–&quot;_)_%;_(@_)_%"/>
    <numFmt numFmtId="191" formatCode="_(#,##0.00_);\(#,##0.00\);_(&quot;–&quot;_);_(@_)"/>
    <numFmt numFmtId="192" formatCode="&quot;FY&quot;\ yy"/>
    <numFmt numFmtId="193" formatCode="_(#,##0.0%_);\(#,##0.0%\);_(&quot;–&quot;_)_%;_(@_)_%"/>
    <numFmt numFmtId="194" formatCode="_(* #,##0.00_);_(* \(#,##0.00\);_(* &quot;-&quot;?_);_(@_)"/>
    <numFmt numFmtId="195" formatCode="0.00000000000000%"/>
  </numFmts>
  <fonts count="4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</font>
    <font>
      <b/>
      <sz val="12"/>
      <color theme="1"/>
      <name val="Calibri"/>
      <family val="2"/>
    </font>
    <font>
      <i/>
      <sz val="12"/>
      <color rgb="FF0000FF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2"/>
      <color rgb="FF0000FF"/>
      <name val="Calibri"/>
      <family val="2"/>
    </font>
    <font>
      <b/>
      <sz val="12"/>
      <color indexed="9"/>
      <name val="Calibri"/>
      <family val="2"/>
      <scheme val="minor"/>
    </font>
    <font>
      <sz val="12"/>
      <name val="Calibri"/>
      <family val="2"/>
    </font>
    <font>
      <b/>
      <u/>
      <sz val="12"/>
      <color indexed="9"/>
      <name val="Calibri"/>
      <family val="2"/>
      <scheme val="minor"/>
    </font>
    <font>
      <u/>
      <sz val="12"/>
      <color indexed="9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1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8DB4E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3" fillId="0" borderId="0"/>
    <xf numFmtId="0" fontId="6" fillId="2" borderId="3" applyNumberFormat="0" applyFont="0" applyAlignment="0" applyProtection="0"/>
    <xf numFmtId="0" fontId="6" fillId="0" borderId="0"/>
    <xf numFmtId="0" fontId="6" fillId="0" borderId="0"/>
    <xf numFmtId="0" fontId="11" fillId="0" borderId="0" applyAlignment="0"/>
    <xf numFmtId="0" fontId="6" fillId="0" borderId="0"/>
    <xf numFmtId="0" fontId="2" fillId="0" borderId="0"/>
    <xf numFmtId="0" fontId="40" fillId="0" borderId="0"/>
    <xf numFmtId="0" fontId="6" fillId="0" borderId="0"/>
    <xf numFmtId="0" fontId="41" fillId="3" borderId="3" applyNumberFormat="0" applyAlignment="0" applyProtection="0"/>
    <xf numFmtId="0" fontId="3" fillId="0" borderId="0"/>
    <xf numFmtId="0" fontId="6" fillId="0" borderId="0"/>
  </cellStyleXfs>
  <cellXfs count="317">
    <xf numFmtId="0" fontId="0" fillId="0" borderId="0" xfId="0"/>
    <xf numFmtId="0" fontId="7" fillId="0" borderId="0" xfId="1" applyFont="1"/>
    <xf numFmtId="0" fontId="9" fillId="0" borderId="0" xfId="1" applyFont="1"/>
    <xf numFmtId="164" fontId="7" fillId="0" borderId="0" xfId="1" applyNumberFormat="1" applyFont="1"/>
    <xf numFmtId="166" fontId="7" fillId="0" borderId="0" xfId="1" applyNumberFormat="1" applyFont="1"/>
    <xf numFmtId="0" fontId="7" fillId="0" borderId="0" xfId="1" applyFont="1" applyAlignment="1">
      <alignment horizontal="left" indent="1"/>
    </xf>
    <xf numFmtId="0" fontId="9" fillId="5" borderId="2" xfId="1" applyFont="1" applyFill="1" applyBorder="1"/>
    <xf numFmtId="0" fontId="14" fillId="0" borderId="0" xfId="0" applyFont="1"/>
    <xf numFmtId="0" fontId="15" fillId="0" borderId="0" xfId="1" applyFont="1"/>
    <xf numFmtId="0" fontId="16" fillId="0" borderId="0" xfId="0" applyFont="1"/>
    <xf numFmtId="0" fontId="17" fillId="4" borderId="0" xfId="1" applyFont="1" applyFill="1"/>
    <xf numFmtId="0" fontId="17" fillId="4" borderId="2" xfId="1" applyFont="1" applyFill="1" applyBorder="1"/>
    <xf numFmtId="14" fontId="17" fillId="4" borderId="2" xfId="1" applyNumberFormat="1" applyFont="1" applyFill="1" applyBorder="1" applyAlignment="1">
      <alignment horizontal="center"/>
    </xf>
    <xf numFmtId="0" fontId="18" fillId="3" borderId="6" xfId="2" applyFont="1" applyFill="1" applyBorder="1" applyAlignment="1">
      <alignment horizontal="centerContinuous"/>
    </xf>
    <xf numFmtId="170" fontId="18" fillId="3" borderId="4" xfId="0" applyNumberFormat="1" applyFont="1" applyFill="1" applyBorder="1"/>
    <xf numFmtId="171" fontId="18" fillId="3" borderId="4" xfId="0" applyNumberFormat="1" applyFont="1" applyFill="1" applyBorder="1" applyAlignment="1">
      <alignment horizontal="center"/>
    </xf>
    <xf numFmtId="173" fontId="18" fillId="3" borderId="3" xfId="0" applyNumberFormat="1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0" fontId="15" fillId="0" borderId="0" xfId="1" applyFont="1" applyAlignment="1">
      <alignment horizontal="left" indent="1"/>
    </xf>
    <xf numFmtId="166" fontId="16" fillId="0" borderId="0" xfId="0" applyNumberFormat="1" applyFont="1"/>
    <xf numFmtId="174" fontId="17" fillId="4" borderId="2" xfId="1" applyNumberFormat="1" applyFont="1" applyFill="1" applyBorder="1" applyAlignment="1">
      <alignment horizontal="center"/>
    </xf>
    <xf numFmtId="166" fontId="15" fillId="0" borderId="0" xfId="1" applyNumberFormat="1" applyFont="1"/>
    <xf numFmtId="0" fontId="10" fillId="4" borderId="8" xfId="1" applyFont="1" applyFill="1" applyBorder="1" applyAlignment="1">
      <alignment horizontal="centerContinuous"/>
    </xf>
    <xf numFmtId="0" fontId="17" fillId="4" borderId="8" xfId="1" applyFont="1" applyFill="1" applyBorder="1" applyAlignment="1">
      <alignment horizontal="centerContinuous"/>
    </xf>
    <xf numFmtId="0" fontId="17" fillId="4" borderId="10" xfId="1" applyFont="1" applyFill="1" applyBorder="1" applyAlignment="1">
      <alignment horizontal="centerContinuous"/>
    </xf>
    <xf numFmtId="174" fontId="17" fillId="4" borderId="9" xfId="1" applyNumberFormat="1" applyFont="1" applyFill="1" applyBorder="1" applyAlignment="1">
      <alignment horizontal="center"/>
    </xf>
    <xf numFmtId="0" fontId="10" fillId="4" borderId="2" xfId="1" applyFont="1" applyFill="1" applyBorder="1"/>
    <xf numFmtId="0" fontId="7" fillId="0" borderId="0" xfId="1" applyFont="1" applyAlignment="1">
      <alignment horizontal="left" indent="2"/>
    </xf>
    <xf numFmtId="0" fontId="9" fillId="0" borderId="1" xfId="1" applyFont="1" applyBorder="1"/>
    <xf numFmtId="0" fontId="21" fillId="4" borderId="2" xfId="1" applyFont="1" applyFill="1" applyBorder="1" applyAlignment="1">
      <alignment horizontal="center"/>
    </xf>
    <xf numFmtId="168" fontId="15" fillId="0" borderId="0" xfId="1" applyNumberFormat="1" applyFont="1"/>
    <xf numFmtId="0" fontId="19" fillId="0" borderId="2" xfId="1" applyFont="1" applyBorder="1" applyAlignment="1">
      <alignment horizontal="center"/>
    </xf>
    <xf numFmtId="165" fontId="7" fillId="3" borderId="3" xfId="2" applyNumberFormat="1" applyFont="1" applyFill="1" applyAlignment="1">
      <alignment horizontal="center"/>
    </xf>
    <xf numFmtId="165" fontId="8" fillId="3" borderId="3" xfId="2" applyNumberFormat="1" applyFont="1" applyFill="1" applyAlignment="1">
      <alignment horizontal="center"/>
    </xf>
    <xf numFmtId="168" fontId="7" fillId="0" borderId="0" xfId="1" applyNumberFormat="1" applyFont="1"/>
    <xf numFmtId="0" fontId="19" fillId="0" borderId="0" xfId="1" applyFont="1" applyAlignment="1">
      <alignment horizontal="left" indent="1"/>
    </xf>
    <xf numFmtId="168" fontId="19" fillId="0" borderId="0" xfId="1" applyNumberFormat="1" applyFont="1"/>
    <xf numFmtId="0" fontId="15" fillId="5" borderId="2" xfId="1" applyFont="1" applyFill="1" applyBorder="1"/>
    <xf numFmtId="0" fontId="13" fillId="0" borderId="0" xfId="1" applyFont="1"/>
    <xf numFmtId="0" fontId="13" fillId="0" borderId="0" xfId="0" applyFont="1"/>
    <xf numFmtId="0" fontId="1" fillId="0" borderId="0" xfId="0" applyFont="1"/>
    <xf numFmtId="0" fontId="1" fillId="0" borderId="0" xfId="0" quotePrefix="1" applyFont="1"/>
    <xf numFmtId="43" fontId="15" fillId="0" borderId="0" xfId="1" applyNumberFormat="1" applyFont="1"/>
    <xf numFmtId="176" fontId="15" fillId="0" borderId="0" xfId="1" applyNumberFormat="1" applyFont="1" applyAlignment="1">
      <alignment horizontal="left" indent="1"/>
    </xf>
    <xf numFmtId="177" fontId="7" fillId="0" borderId="0" xfId="1" applyNumberFormat="1" applyFont="1"/>
    <xf numFmtId="0" fontId="8" fillId="3" borderId="5" xfId="2" applyFont="1" applyFill="1" applyBorder="1" applyAlignment="1">
      <alignment horizontal="centerContinuous"/>
    </xf>
    <xf numFmtId="0" fontId="8" fillId="3" borderId="3" xfId="2" applyFont="1" applyFill="1" applyAlignment="1">
      <alignment horizontal="centerContinuous"/>
    </xf>
    <xf numFmtId="164" fontId="9" fillId="0" borderId="0" xfId="1" applyNumberFormat="1" applyFont="1"/>
    <xf numFmtId="166" fontId="8" fillId="0" borderId="0" xfId="1" applyNumberFormat="1" applyFont="1"/>
    <xf numFmtId="3" fontId="8" fillId="0" borderId="0" xfId="1" applyNumberFormat="1" applyFont="1"/>
    <xf numFmtId="164" fontId="8" fillId="0" borderId="0" xfId="1" applyNumberFormat="1" applyFont="1"/>
    <xf numFmtId="44" fontId="15" fillId="0" borderId="0" xfId="1" applyNumberFormat="1" applyFont="1"/>
    <xf numFmtId="0" fontId="9" fillId="0" borderId="1" xfId="1" applyFont="1" applyBorder="1" applyAlignment="1">
      <alignment horizontal="left"/>
    </xf>
    <xf numFmtId="0" fontId="19" fillId="0" borderId="1" xfId="1" applyFont="1" applyBorder="1" applyAlignment="1">
      <alignment horizontal="center"/>
    </xf>
    <xf numFmtId="166" fontId="9" fillId="0" borderId="1" xfId="1" applyNumberFormat="1" applyFont="1" applyBorder="1"/>
    <xf numFmtId="0" fontId="22" fillId="0" borderId="0" xfId="0" applyFont="1" applyAlignment="1">
      <alignment horizontal="center"/>
    </xf>
    <xf numFmtId="38" fontId="8" fillId="3" borderId="3" xfId="2" applyNumberFormat="1" applyFont="1" applyFill="1"/>
    <xf numFmtId="3" fontId="7" fillId="0" borderId="0" xfId="1" applyNumberFormat="1" applyFont="1"/>
    <xf numFmtId="3" fontId="1" fillId="0" borderId="0" xfId="1" applyNumberFormat="1" applyFont="1"/>
    <xf numFmtId="168" fontId="8" fillId="0" borderId="0" xfId="1" applyNumberFormat="1" applyFont="1"/>
    <xf numFmtId="178" fontId="8" fillId="0" borderId="0" xfId="1" applyNumberFormat="1" applyFont="1"/>
    <xf numFmtId="0" fontId="19" fillId="0" borderId="0" xfId="1" applyFont="1" applyAlignment="1">
      <alignment horizontal="left" indent="2"/>
    </xf>
    <xf numFmtId="43" fontId="15" fillId="0" borderId="0" xfId="1" applyNumberFormat="1" applyFont="1" applyAlignment="1">
      <alignment horizontal="left" indent="1"/>
    </xf>
    <xf numFmtId="180" fontId="15" fillId="0" borderId="0" xfId="1" applyNumberFormat="1" applyFont="1"/>
    <xf numFmtId="166" fontId="9" fillId="0" borderId="0" xfId="1" applyNumberFormat="1" applyFont="1"/>
    <xf numFmtId="0" fontId="23" fillId="6" borderId="0" xfId="0" applyFont="1" applyFill="1"/>
    <xf numFmtId="0" fontId="24" fillId="6" borderId="0" xfId="0" applyFont="1" applyFill="1"/>
    <xf numFmtId="0" fontId="23" fillId="6" borderId="2" xfId="0" applyFont="1" applyFill="1" applyBorder="1"/>
    <xf numFmtId="0" fontId="24" fillId="6" borderId="2" xfId="0" applyFont="1" applyFill="1" applyBorder="1"/>
    <xf numFmtId="0" fontId="12" fillId="0" borderId="0" xfId="0" applyFont="1"/>
    <xf numFmtId="43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left" indent="1"/>
    </xf>
    <xf numFmtId="164" fontId="8" fillId="0" borderId="0" xfId="0" applyNumberFormat="1" applyFont="1"/>
    <xf numFmtId="166" fontId="8" fillId="0" borderId="0" xfId="0" applyNumberFormat="1" applyFont="1"/>
    <xf numFmtId="0" fontId="12" fillId="0" borderId="1" xfId="0" applyFont="1" applyBorder="1"/>
    <xf numFmtId="166" fontId="12" fillId="0" borderId="1" xfId="0" applyNumberFormat="1" applyFont="1" applyBorder="1"/>
    <xf numFmtId="165" fontId="8" fillId="0" borderId="0" xfId="2" applyNumberFormat="1" applyFont="1" applyFill="1" applyBorder="1" applyAlignment="1">
      <alignment horizontal="center"/>
    </xf>
    <xf numFmtId="169" fontId="7" fillId="0" borderId="0" xfId="1" applyNumberFormat="1" applyFont="1"/>
    <xf numFmtId="167" fontId="7" fillId="0" borderId="0" xfId="1" applyNumberFormat="1" applyFont="1"/>
    <xf numFmtId="164" fontId="1" fillId="0" borderId="0" xfId="0" applyNumberFormat="1" applyFont="1"/>
    <xf numFmtId="166" fontId="15" fillId="0" borderId="0" xfId="1" applyNumberFormat="1" applyFont="1" applyAlignment="1">
      <alignment horizontal="left" indent="1"/>
    </xf>
    <xf numFmtId="166" fontId="15" fillId="0" borderId="2" xfId="1" applyNumberFormat="1" applyFont="1" applyBorder="1"/>
    <xf numFmtId="0" fontId="19" fillId="0" borderId="0" xfId="1" applyFont="1" applyAlignment="1">
      <alignment horizontal="center" vertical="center"/>
    </xf>
    <xf numFmtId="177" fontId="15" fillId="0" borderId="0" xfId="1" applyNumberFormat="1" applyFont="1"/>
    <xf numFmtId="176" fontId="7" fillId="3" borderId="3" xfId="0" applyNumberFormat="1" applyFont="1" applyFill="1" applyBorder="1"/>
    <xf numFmtId="166" fontId="8" fillId="3" borderId="3" xfId="1" applyNumberFormat="1" applyFont="1" applyFill="1" applyBorder="1" applyAlignment="1">
      <alignment horizontal="center"/>
    </xf>
    <xf numFmtId="164" fontId="9" fillId="0" borderId="1" xfId="1" applyNumberFormat="1" applyFont="1" applyBorder="1" applyAlignment="1">
      <alignment horizontal="left" indent="1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9" fontId="15" fillId="0" borderId="0" xfId="1" applyNumberFormat="1" applyFont="1"/>
    <xf numFmtId="0" fontId="10" fillId="0" borderId="0" xfId="1" applyFont="1"/>
    <xf numFmtId="0" fontId="17" fillId="0" borderId="0" xfId="1" applyFont="1"/>
    <xf numFmtId="0" fontId="21" fillId="0" borderId="0" xfId="1" applyFont="1" applyAlignment="1">
      <alignment horizontal="center"/>
    </xf>
    <xf numFmtId="174" fontId="17" fillId="0" borderId="0" xfId="1" applyNumberFormat="1" applyFont="1" applyAlignment="1">
      <alignment horizontal="center"/>
    </xf>
    <xf numFmtId="180" fontId="8" fillId="0" borderId="0" xfId="1" applyNumberFormat="1" applyFont="1"/>
    <xf numFmtId="174" fontId="9" fillId="5" borderId="2" xfId="1" applyNumberFormat="1" applyFont="1" applyFill="1" applyBorder="1" applyAlignment="1">
      <alignment horizontal="center"/>
    </xf>
    <xf numFmtId="0" fontId="12" fillId="5" borderId="2" xfId="0" applyFont="1" applyFill="1" applyBorder="1"/>
    <xf numFmtId="0" fontId="1" fillId="5" borderId="2" xfId="0" applyFont="1" applyFill="1" applyBorder="1"/>
    <xf numFmtId="0" fontId="22" fillId="5" borderId="2" xfId="0" applyFont="1" applyFill="1" applyBorder="1" applyAlignment="1">
      <alignment horizontal="center"/>
    </xf>
    <xf numFmtId="183" fontId="12" fillId="5" borderId="2" xfId="0" applyNumberFormat="1" applyFont="1" applyFill="1" applyBorder="1"/>
    <xf numFmtId="166" fontId="8" fillId="3" borderId="3" xfId="0" applyNumberFormat="1" applyFont="1" applyFill="1" applyBorder="1" applyAlignment="1">
      <alignment horizontal="center"/>
    </xf>
    <xf numFmtId="0" fontId="12" fillId="5" borderId="1" xfId="0" applyFont="1" applyFill="1" applyBorder="1"/>
    <xf numFmtId="0" fontId="1" fillId="5" borderId="1" xfId="0" applyFont="1" applyFill="1" applyBorder="1"/>
    <xf numFmtId="0" fontId="22" fillId="5" borderId="1" xfId="0" applyFont="1" applyFill="1" applyBorder="1" applyAlignment="1">
      <alignment horizontal="center"/>
    </xf>
    <xf numFmtId="166" fontId="12" fillId="5" borderId="1" xfId="0" applyNumberFormat="1" applyFont="1" applyFill="1" applyBorder="1"/>
    <xf numFmtId="173" fontId="18" fillId="0" borderId="0" xfId="0" applyNumberFormat="1" applyFont="1" applyAlignment="1">
      <alignment horizontal="center"/>
    </xf>
    <xf numFmtId="44" fontId="18" fillId="3" borderId="3" xfId="0" applyNumberFormat="1" applyFont="1" applyFill="1" applyBorder="1"/>
    <xf numFmtId="168" fontId="28" fillId="0" borderId="0" xfId="1" applyNumberFormat="1" applyFont="1"/>
    <xf numFmtId="0" fontId="10" fillId="4" borderId="0" xfId="1" applyFont="1" applyFill="1"/>
    <xf numFmtId="14" fontId="10" fillId="4" borderId="2" xfId="1" applyNumberFormat="1" applyFont="1" applyFill="1" applyBorder="1" applyAlignment="1">
      <alignment horizontal="center"/>
    </xf>
    <xf numFmtId="167" fontId="25" fillId="0" borderId="0" xfId="0" applyNumberFormat="1" applyFont="1" applyAlignment="1">
      <alignment horizontal="center"/>
    </xf>
    <xf numFmtId="0" fontId="9" fillId="5" borderId="1" xfId="1" applyFont="1" applyFill="1" applyBorder="1" applyAlignment="1">
      <alignment horizontal="left"/>
    </xf>
    <xf numFmtId="0" fontId="7" fillId="5" borderId="1" xfId="1" applyFont="1" applyFill="1" applyBorder="1"/>
    <xf numFmtId="0" fontId="19" fillId="0" borderId="0" xfId="1" applyFont="1" applyAlignment="1">
      <alignment horizontal="left"/>
    </xf>
    <xf numFmtId="0" fontId="9" fillId="7" borderId="11" xfId="1" applyFont="1" applyFill="1" applyBorder="1" applyAlignment="1">
      <alignment horizontal="left"/>
    </xf>
    <xf numFmtId="0" fontId="9" fillId="7" borderId="1" xfId="1" applyFont="1" applyFill="1" applyBorder="1"/>
    <xf numFmtId="44" fontId="9" fillId="7" borderId="12" xfId="1" applyNumberFormat="1" applyFont="1" applyFill="1" applyBorder="1"/>
    <xf numFmtId="0" fontId="9" fillId="7" borderId="13" xfId="1" applyFont="1" applyFill="1" applyBorder="1" applyAlignment="1">
      <alignment horizontal="left"/>
    </xf>
    <xf numFmtId="0" fontId="9" fillId="7" borderId="2" xfId="1" applyFont="1" applyFill="1" applyBorder="1"/>
    <xf numFmtId="168" fontId="9" fillId="7" borderId="14" xfId="1" applyNumberFormat="1" applyFont="1" applyFill="1" applyBorder="1"/>
    <xf numFmtId="0" fontId="7" fillId="0" borderId="1" xfId="1" applyFont="1" applyBorder="1"/>
    <xf numFmtId="185" fontId="7" fillId="0" borderId="0" xfId="1" applyNumberFormat="1" applyFont="1"/>
    <xf numFmtId="0" fontId="9" fillId="8" borderId="0" xfId="1" applyFont="1" applyFill="1"/>
    <xf numFmtId="0" fontId="19" fillId="8" borderId="0" xfId="1" applyFont="1" applyFill="1" applyAlignment="1">
      <alignment horizontal="center"/>
    </xf>
    <xf numFmtId="166" fontId="9" fillId="8" borderId="0" xfId="1" applyNumberFormat="1" applyFont="1" applyFill="1"/>
    <xf numFmtId="0" fontId="9" fillId="9" borderId="0" xfId="1" applyFont="1" applyFill="1"/>
    <xf numFmtId="0" fontId="19" fillId="9" borderId="0" xfId="1" applyFont="1" applyFill="1" applyAlignment="1">
      <alignment horizontal="center"/>
    </xf>
    <xf numFmtId="164" fontId="9" fillId="9" borderId="0" xfId="1" applyNumberFormat="1" applyFont="1" applyFill="1"/>
    <xf numFmtId="0" fontId="7" fillId="6" borderId="11" xfId="1" applyFont="1" applyFill="1" applyBorder="1"/>
    <xf numFmtId="0" fontId="7" fillId="6" borderId="7" xfId="1" applyFont="1" applyFill="1" applyBorder="1"/>
    <xf numFmtId="0" fontId="10" fillId="6" borderId="7" xfId="1" applyFont="1" applyFill="1" applyBorder="1" applyAlignment="1">
      <alignment horizontal="centerContinuous"/>
    </xf>
    <xf numFmtId="0" fontId="9" fillId="6" borderId="7" xfId="1" applyFont="1" applyFill="1" applyBorder="1" applyAlignment="1">
      <alignment horizontal="centerContinuous"/>
    </xf>
    <xf numFmtId="0" fontId="9" fillId="6" borderId="15" xfId="1" applyFont="1" applyFill="1" applyBorder="1" applyAlignment="1">
      <alignment horizontal="centerContinuous"/>
    </xf>
    <xf numFmtId="0" fontId="7" fillId="6" borderId="16" xfId="1" applyFont="1" applyFill="1" applyBorder="1"/>
    <xf numFmtId="44" fontId="29" fillId="5" borderId="0" xfId="1" applyNumberFormat="1" applyFont="1" applyFill="1"/>
    <xf numFmtId="186" fontId="8" fillId="5" borderId="7" xfId="1" applyNumberFormat="1" applyFont="1" applyFill="1" applyBorder="1" applyAlignment="1">
      <alignment horizontal="center"/>
    </xf>
    <xf numFmtId="186" fontId="7" fillId="5" borderId="7" xfId="1" applyNumberFormat="1" applyFont="1" applyFill="1" applyBorder="1" applyAlignment="1">
      <alignment horizontal="center"/>
    </xf>
    <xf numFmtId="186" fontId="9" fillId="5" borderId="7" xfId="1" applyNumberFormat="1" applyFont="1" applyFill="1" applyBorder="1" applyAlignment="1">
      <alignment horizontal="center"/>
    </xf>
    <xf numFmtId="186" fontId="7" fillId="5" borderId="15" xfId="1" applyNumberFormat="1" applyFont="1" applyFill="1" applyBorder="1" applyAlignment="1">
      <alignment horizontal="center"/>
    </xf>
    <xf numFmtId="187" fontId="8" fillId="5" borderId="17" xfId="1" applyNumberFormat="1" applyFont="1" applyFill="1" applyBorder="1" applyAlignment="1">
      <alignment horizontal="center"/>
    </xf>
    <xf numFmtId="44" fontId="7" fillId="0" borderId="0" xfId="0" applyNumberFormat="1" applyFont="1"/>
    <xf numFmtId="44" fontId="9" fillId="0" borderId="0" xfId="0" applyNumberFormat="1" applyFont="1"/>
    <xf numFmtId="187" fontId="7" fillId="5" borderId="17" xfId="1" applyNumberFormat="1" applyFont="1" applyFill="1" applyBorder="1" applyAlignment="1">
      <alignment horizontal="center"/>
    </xf>
    <xf numFmtId="43" fontId="7" fillId="0" borderId="0" xfId="0" applyNumberFormat="1" applyFont="1"/>
    <xf numFmtId="43" fontId="9" fillId="0" borderId="0" xfId="0" applyNumberFormat="1" applyFont="1"/>
    <xf numFmtId="187" fontId="9" fillId="5" borderId="17" xfId="1" applyNumberFormat="1" applyFont="1" applyFill="1" applyBorder="1" applyAlignment="1">
      <alignment horizontal="center"/>
    </xf>
    <xf numFmtId="187" fontId="7" fillId="5" borderId="14" xfId="1" applyNumberFormat="1" applyFont="1" applyFill="1" applyBorder="1" applyAlignment="1">
      <alignment horizontal="center"/>
    </xf>
    <xf numFmtId="188" fontId="8" fillId="5" borderId="17" xfId="1" applyNumberFormat="1" applyFont="1" applyFill="1" applyBorder="1" applyAlignment="1">
      <alignment horizontal="center"/>
    </xf>
    <xf numFmtId="188" fontId="7" fillId="5" borderId="17" xfId="1" applyNumberFormat="1" applyFont="1" applyFill="1" applyBorder="1" applyAlignment="1">
      <alignment horizontal="center"/>
    </xf>
    <xf numFmtId="188" fontId="9" fillId="5" borderId="17" xfId="1" applyNumberFormat="1" applyFont="1" applyFill="1" applyBorder="1" applyAlignment="1">
      <alignment horizontal="center"/>
    </xf>
    <xf numFmtId="0" fontId="30" fillId="0" borderId="0" xfId="0" applyFont="1"/>
    <xf numFmtId="0" fontId="27" fillId="0" borderId="0" xfId="0" applyFont="1"/>
    <xf numFmtId="0" fontId="31" fillId="4" borderId="2" xfId="0" applyFont="1" applyFill="1" applyBorder="1"/>
    <xf numFmtId="0" fontId="32" fillId="4" borderId="2" xfId="0" applyFont="1" applyFill="1" applyBorder="1"/>
    <xf numFmtId="0" fontId="32" fillId="0" borderId="0" xfId="0" applyFont="1"/>
    <xf numFmtId="189" fontId="8" fillId="3" borderId="4" xfId="0" applyNumberFormat="1" applyFont="1" applyFill="1" applyBorder="1" applyAlignment="1">
      <alignment horizontal="center"/>
    </xf>
    <xf numFmtId="189" fontId="33" fillId="0" borderId="0" xfId="0" applyNumberFormat="1" applyFont="1"/>
    <xf numFmtId="189" fontId="7" fillId="3" borderId="4" xfId="0" applyNumberFormat="1" applyFont="1" applyFill="1" applyBorder="1" applyAlignment="1">
      <alignment horizontal="center"/>
    </xf>
    <xf numFmtId="0" fontId="26" fillId="0" borderId="0" xfId="0" applyFont="1"/>
    <xf numFmtId="0" fontId="34" fillId="4" borderId="0" xfId="1" applyFont="1" applyFill="1"/>
    <xf numFmtId="0" fontId="34" fillId="4" borderId="0" xfId="1" applyFont="1" applyFill="1" applyAlignment="1">
      <alignment horizontal="center"/>
    </xf>
    <xf numFmtId="0" fontId="34" fillId="4" borderId="2" xfId="1" applyFont="1" applyFill="1" applyBorder="1"/>
    <xf numFmtId="0" fontId="34" fillId="4" borderId="2" xfId="1" applyFont="1" applyFill="1" applyBorder="1" applyAlignment="1">
      <alignment horizontal="center"/>
    </xf>
    <xf numFmtId="190" fontId="35" fillId="0" borderId="0" xfId="0" applyNumberFormat="1" applyFont="1"/>
    <xf numFmtId="164" fontId="35" fillId="0" borderId="0" xfId="0" applyNumberFormat="1" applyFont="1"/>
    <xf numFmtId="182" fontId="35" fillId="0" borderId="0" xfId="0" applyNumberFormat="1" applyFont="1"/>
    <xf numFmtId="191" fontId="1" fillId="0" borderId="0" xfId="0" applyNumberFormat="1" applyFont="1" applyAlignment="1">
      <alignment horizontal="center"/>
    </xf>
    <xf numFmtId="166" fontId="35" fillId="0" borderId="0" xfId="0" applyNumberFormat="1" applyFont="1"/>
    <xf numFmtId="0" fontId="9" fillId="10" borderId="19" xfId="1" applyFont="1" applyFill="1" applyBorder="1" applyAlignment="1">
      <alignment horizontal="left"/>
    </xf>
    <xf numFmtId="0" fontId="9" fillId="10" borderId="7" xfId="1" applyFont="1" applyFill="1" applyBorder="1"/>
    <xf numFmtId="190" fontId="9" fillId="10" borderId="7" xfId="1" applyNumberFormat="1" applyFont="1" applyFill="1" applyBorder="1"/>
    <xf numFmtId="164" fontId="9" fillId="10" borderId="7" xfId="1" applyNumberFormat="1" applyFont="1" applyFill="1" applyBorder="1"/>
    <xf numFmtId="182" fontId="9" fillId="10" borderId="7" xfId="1" applyNumberFormat="1" applyFont="1" applyFill="1" applyBorder="1"/>
    <xf numFmtId="191" fontId="9" fillId="10" borderId="15" xfId="1" applyNumberFormat="1" applyFont="1" applyFill="1" applyBorder="1" applyAlignment="1">
      <alignment horizontal="center"/>
    </xf>
    <xf numFmtId="0" fontId="10" fillId="11" borderId="19" xfId="1" applyFont="1" applyFill="1" applyBorder="1"/>
    <xf numFmtId="0" fontId="10" fillId="11" borderId="7" xfId="1" applyFont="1" applyFill="1" applyBorder="1"/>
    <xf numFmtId="190" fontId="10" fillId="11" borderId="7" xfId="1" applyNumberFormat="1" applyFont="1" applyFill="1" applyBorder="1"/>
    <xf numFmtId="42" fontId="10" fillId="11" borderId="7" xfId="1" applyNumberFormat="1" applyFont="1" applyFill="1" applyBorder="1"/>
    <xf numFmtId="9" fontId="10" fillId="11" borderId="7" xfId="1" applyNumberFormat="1" applyFont="1" applyFill="1" applyBorder="1"/>
    <xf numFmtId="43" fontId="10" fillId="11" borderId="15" xfId="1" applyNumberFormat="1" applyFont="1" applyFill="1" applyBorder="1"/>
    <xf numFmtId="190" fontId="7" fillId="0" borderId="1" xfId="1" applyNumberFormat="1" applyFont="1" applyBorder="1"/>
    <xf numFmtId="182" fontId="7" fillId="0" borderId="1" xfId="1" applyNumberFormat="1" applyFont="1" applyBorder="1"/>
    <xf numFmtId="178" fontId="7" fillId="0" borderId="1" xfId="1" applyNumberFormat="1" applyFont="1" applyBorder="1" applyAlignment="1">
      <alignment horizontal="center"/>
    </xf>
    <xf numFmtId="190" fontId="7" fillId="0" borderId="0" xfId="1" applyNumberFormat="1" applyFont="1"/>
    <xf numFmtId="182" fontId="7" fillId="0" borderId="0" xfId="1" applyNumberFormat="1" applyFont="1"/>
    <xf numFmtId="178" fontId="7" fillId="0" borderId="0" xfId="1" applyNumberFormat="1" applyFont="1" applyAlignment="1">
      <alignment horizontal="center"/>
    </xf>
    <xf numFmtId="0" fontId="10" fillId="11" borderId="11" xfId="1" applyFont="1" applyFill="1" applyBorder="1"/>
    <xf numFmtId="0" fontId="10" fillId="11" borderId="1" xfId="1" applyFont="1" applyFill="1" applyBorder="1"/>
    <xf numFmtId="188" fontId="10" fillId="11" borderId="12" xfId="1" applyNumberFormat="1" applyFont="1" applyFill="1" applyBorder="1"/>
    <xf numFmtId="0" fontId="10" fillId="11" borderId="20" xfId="1" applyFont="1" applyFill="1" applyBorder="1"/>
    <xf numFmtId="0" fontId="10" fillId="11" borderId="0" xfId="1" applyFont="1" applyFill="1"/>
    <xf numFmtId="188" fontId="10" fillId="11" borderId="17" xfId="1" applyNumberFormat="1" applyFont="1" applyFill="1" applyBorder="1"/>
    <xf numFmtId="0" fontId="10" fillId="11" borderId="13" xfId="1" applyFont="1" applyFill="1" applyBorder="1"/>
    <xf numFmtId="0" fontId="10" fillId="11" borderId="2" xfId="1" applyFont="1" applyFill="1" applyBorder="1"/>
    <xf numFmtId="188" fontId="10" fillId="11" borderId="14" xfId="1" applyNumberFormat="1" applyFont="1" applyFill="1" applyBorder="1"/>
    <xf numFmtId="189" fontId="10" fillId="11" borderId="14" xfId="1" applyNumberFormat="1" applyFont="1" applyFill="1" applyBorder="1"/>
    <xf numFmtId="189" fontId="10" fillId="11" borderId="15" xfId="1" applyNumberFormat="1" applyFont="1" applyFill="1" applyBorder="1"/>
    <xf numFmtId="0" fontId="8" fillId="0" borderId="0" xfId="2" applyFont="1" applyFill="1" applyBorder="1" applyAlignment="1">
      <alignment horizontal="centerContinuous"/>
    </xf>
    <xf numFmtId="43" fontId="7" fillId="0" borderId="0" xfId="1" applyNumberFormat="1" applyFont="1"/>
    <xf numFmtId="169" fontId="8" fillId="3" borderId="3" xfId="1" applyNumberFormat="1" applyFont="1" applyFill="1" applyBorder="1" applyAlignment="1">
      <alignment horizontal="center"/>
    </xf>
    <xf numFmtId="186" fontId="7" fillId="0" borderId="0" xfId="1" applyNumberFormat="1" applyFont="1"/>
    <xf numFmtId="186" fontId="9" fillId="0" borderId="0" xfId="1" applyNumberFormat="1" applyFont="1"/>
    <xf numFmtId="188" fontId="7" fillId="5" borderId="14" xfId="1" applyNumberFormat="1" applyFont="1" applyFill="1" applyBorder="1" applyAlignment="1">
      <alignment horizontal="center"/>
    </xf>
    <xf numFmtId="0" fontId="30" fillId="0" borderId="0" xfId="1" applyFont="1"/>
    <xf numFmtId="1" fontId="7" fillId="0" borderId="0" xfId="1" applyNumberFormat="1" applyFont="1"/>
    <xf numFmtId="0" fontId="34" fillId="6" borderId="0" xfId="3" applyFont="1" applyFill="1" applyAlignment="1">
      <alignment horizontal="left"/>
    </xf>
    <xf numFmtId="0" fontId="34" fillId="6" borderId="0" xfId="1" applyFont="1" applyFill="1"/>
    <xf numFmtId="0" fontId="36" fillId="6" borderId="0" xfId="1" applyFont="1" applyFill="1" applyAlignment="1">
      <alignment horizontal="centerContinuous"/>
    </xf>
    <xf numFmtId="0" fontId="37" fillId="6" borderId="0" xfId="1" applyFont="1" applyFill="1" applyAlignment="1">
      <alignment horizontal="centerContinuous"/>
    </xf>
    <xf numFmtId="0" fontId="38" fillId="6" borderId="0" xfId="1" applyFont="1" applyFill="1"/>
    <xf numFmtId="0" fontId="34" fillId="6" borderId="0" xfId="1" applyFont="1" applyFill="1" applyAlignment="1">
      <alignment horizontal="center"/>
    </xf>
    <xf numFmtId="0" fontId="34" fillId="6" borderId="2" xfId="1" applyFont="1" applyFill="1" applyBorder="1"/>
    <xf numFmtId="0" fontId="34" fillId="6" borderId="2" xfId="1" applyFont="1" applyFill="1" applyBorder="1" applyAlignment="1">
      <alignment horizontal="center"/>
    </xf>
    <xf numFmtId="192" fontId="34" fillId="6" borderId="2" xfId="1" applyNumberFormat="1" applyFont="1" applyFill="1" applyBorder="1" applyAlignment="1">
      <alignment horizontal="center"/>
    </xf>
    <xf numFmtId="192" fontId="10" fillId="6" borderId="2" xfId="0" applyNumberFormat="1" applyFont="1" applyFill="1" applyBorder="1" applyAlignment="1">
      <alignment horizontal="center"/>
    </xf>
    <xf numFmtId="14" fontId="34" fillId="6" borderId="2" xfId="1" applyNumberFormat="1" applyFont="1" applyFill="1" applyBorder="1" applyAlignment="1">
      <alignment horizontal="center"/>
    </xf>
    <xf numFmtId="44" fontId="8" fillId="0" borderId="0" xfId="1" applyNumberFormat="1" applyFont="1"/>
    <xf numFmtId="193" fontId="7" fillId="0" borderId="0" xfId="1" applyNumberFormat="1" applyFont="1"/>
    <xf numFmtId="43" fontId="8" fillId="0" borderId="0" xfId="1" applyNumberFormat="1" applyFont="1"/>
    <xf numFmtId="0" fontId="7" fillId="0" borderId="11" xfId="1" applyFont="1" applyBorder="1"/>
    <xf numFmtId="44" fontId="7" fillId="0" borderId="1" xfId="1" applyNumberFormat="1" applyFont="1" applyBorder="1"/>
    <xf numFmtId="184" fontId="7" fillId="0" borderId="1" xfId="1" applyNumberFormat="1" applyFont="1" applyBorder="1"/>
    <xf numFmtId="0" fontId="7" fillId="0" borderId="20" xfId="1" applyFont="1" applyBorder="1"/>
    <xf numFmtId="0" fontId="9" fillId="12" borderId="19" xfId="1" applyFont="1" applyFill="1" applyBorder="1"/>
    <xf numFmtId="0" fontId="9" fillId="12" borderId="7" xfId="1" applyFont="1" applyFill="1" applyBorder="1"/>
    <xf numFmtId="43" fontId="9" fillId="12" borderId="7" xfId="1" applyNumberFormat="1" applyFont="1" applyFill="1" applyBorder="1"/>
    <xf numFmtId="44" fontId="9" fillId="12" borderId="7" xfId="1" applyNumberFormat="1" applyFont="1" applyFill="1" applyBorder="1"/>
    <xf numFmtId="166" fontId="9" fillId="12" borderId="7" xfId="1" applyNumberFormat="1" applyFont="1" applyFill="1" applyBorder="1"/>
    <xf numFmtId="184" fontId="9" fillId="12" borderId="7" xfId="1" applyNumberFormat="1" applyFont="1" applyFill="1" applyBorder="1"/>
    <xf numFmtId="0" fontId="7" fillId="0" borderId="13" xfId="1" applyFont="1" applyBorder="1"/>
    <xf numFmtId="0" fontId="9" fillId="0" borderId="2" xfId="1" applyFont="1" applyBorder="1"/>
    <xf numFmtId="43" fontId="7" fillId="0" borderId="2" xfId="1" applyNumberFormat="1" applyFont="1" applyBorder="1"/>
    <xf numFmtId="185" fontId="7" fillId="0" borderId="2" xfId="1" applyNumberFormat="1" applyFont="1" applyBorder="1"/>
    <xf numFmtId="43" fontId="10" fillId="11" borderId="7" xfId="1" applyNumberFormat="1" applyFont="1" applyFill="1" applyBorder="1"/>
    <xf numFmtId="166" fontId="10" fillId="11" borderId="7" xfId="1" applyNumberFormat="1" applyFont="1" applyFill="1" applyBorder="1"/>
    <xf numFmtId="164" fontId="7" fillId="0" borderId="1" xfId="1" applyNumberFormat="1" applyFont="1" applyBorder="1"/>
    <xf numFmtId="169" fontId="7" fillId="0" borderId="1" xfId="1" applyNumberFormat="1" applyFont="1" applyBorder="1"/>
    <xf numFmtId="169" fontId="9" fillId="12" borderId="7" xfId="1" applyNumberFormat="1" applyFont="1" applyFill="1" applyBorder="1"/>
    <xf numFmtId="166" fontId="7" fillId="0" borderId="2" xfId="1" applyNumberFormat="1" applyFont="1" applyBorder="1"/>
    <xf numFmtId="169" fontId="7" fillId="0" borderId="2" xfId="1" applyNumberFormat="1" applyFont="1" applyBorder="1"/>
    <xf numFmtId="169" fontId="10" fillId="11" borderId="7" xfId="1" applyNumberFormat="1" applyFont="1" applyFill="1" applyBorder="1"/>
    <xf numFmtId="169" fontId="7" fillId="0" borderId="12" xfId="1" applyNumberFormat="1" applyFont="1" applyBorder="1"/>
    <xf numFmtId="169" fontId="7" fillId="0" borderId="17" xfId="1" applyNumberFormat="1" applyFont="1" applyBorder="1"/>
    <xf numFmtId="169" fontId="9" fillId="12" borderId="15" xfId="1" applyNumberFormat="1" applyFont="1" applyFill="1" applyBorder="1"/>
    <xf numFmtId="169" fontId="7" fillId="0" borderId="14" xfId="1" applyNumberFormat="1" applyFont="1" applyBorder="1"/>
    <xf numFmtId="14" fontId="34" fillId="6" borderId="0" xfId="1" applyNumberFormat="1" applyFont="1" applyFill="1" applyAlignment="1">
      <alignment horizontal="center"/>
    </xf>
    <xf numFmtId="167" fontId="7" fillId="0" borderId="12" xfId="1" applyNumberFormat="1" applyFont="1" applyBorder="1"/>
    <xf numFmtId="167" fontId="7" fillId="0" borderId="17" xfId="1" applyNumberFormat="1" applyFont="1" applyBorder="1"/>
    <xf numFmtId="167" fontId="9" fillId="12" borderId="15" xfId="1" applyNumberFormat="1" applyFont="1" applyFill="1" applyBorder="1"/>
    <xf numFmtId="167" fontId="7" fillId="0" borderId="14" xfId="1" applyNumberFormat="1" applyFont="1" applyBorder="1"/>
    <xf numFmtId="192" fontId="36" fillId="0" borderId="0" xfId="1" applyNumberFormat="1" applyFont="1"/>
    <xf numFmtId="194" fontId="8" fillId="0" borderId="0" xfId="1" applyNumberFormat="1" applyFont="1"/>
    <xf numFmtId="194" fontId="10" fillId="11" borderId="7" xfId="1" applyNumberFormat="1" applyFont="1" applyFill="1" applyBorder="1"/>
    <xf numFmtId="194" fontId="7" fillId="0" borderId="1" xfId="1" applyNumberFormat="1" applyFont="1" applyBorder="1"/>
    <xf numFmtId="194" fontId="7" fillId="0" borderId="0" xfId="1" applyNumberFormat="1" applyFont="1"/>
    <xf numFmtId="194" fontId="9" fillId="12" borderId="7" xfId="1" applyNumberFormat="1" applyFont="1" applyFill="1" applyBorder="1"/>
    <xf numFmtId="194" fontId="7" fillId="0" borderId="2" xfId="1" applyNumberFormat="1" applyFont="1" applyBorder="1"/>
    <xf numFmtId="182" fontId="10" fillId="11" borderId="7" xfId="1" applyNumberFormat="1" applyFont="1" applyFill="1" applyBorder="1"/>
    <xf numFmtId="167" fontId="10" fillId="11" borderId="15" xfId="1" applyNumberFormat="1" applyFont="1" applyFill="1" applyBorder="1"/>
    <xf numFmtId="169" fontId="10" fillId="11" borderId="15" xfId="1" applyNumberFormat="1" applyFont="1" applyFill="1" applyBorder="1"/>
    <xf numFmtId="178" fontId="7" fillId="0" borderId="1" xfId="1" applyNumberFormat="1" applyFont="1" applyBorder="1"/>
    <xf numFmtId="178" fontId="7" fillId="0" borderId="0" xfId="1" applyNumberFormat="1" applyFont="1"/>
    <xf numFmtId="178" fontId="9" fillId="12" borderId="7" xfId="1" applyNumberFormat="1" applyFont="1" applyFill="1" applyBorder="1"/>
    <xf numFmtId="178" fontId="7" fillId="0" borderId="2" xfId="1" applyNumberFormat="1" applyFont="1" applyBorder="1"/>
    <xf numFmtId="178" fontId="10" fillId="11" borderId="7" xfId="1" applyNumberFormat="1" applyFont="1" applyFill="1" applyBorder="1"/>
    <xf numFmtId="43" fontId="0" fillId="0" borderId="0" xfId="0" applyNumberFormat="1"/>
    <xf numFmtId="178" fontId="7" fillId="0" borderId="0" xfId="0" applyNumberFormat="1" applyFont="1" applyAlignment="1">
      <alignment horizontal="center" vertical="top" wrapText="1"/>
    </xf>
    <xf numFmtId="178" fontId="9" fillId="10" borderId="7" xfId="1" applyNumberFormat="1" applyFont="1" applyFill="1" applyBorder="1" applyAlignment="1">
      <alignment horizontal="center"/>
    </xf>
    <xf numFmtId="182" fontId="9" fillId="12" borderId="7" xfId="1" applyNumberFormat="1" applyFont="1" applyFill="1" applyBorder="1"/>
    <xf numFmtId="182" fontId="7" fillId="0" borderId="2" xfId="1" applyNumberFormat="1" applyFont="1" applyBorder="1"/>
    <xf numFmtId="189" fontId="10" fillId="11" borderId="17" xfId="1" applyNumberFormat="1" applyFont="1" applyFill="1" applyBorder="1"/>
    <xf numFmtId="186" fontId="35" fillId="0" borderId="0" xfId="0" applyNumberFormat="1" applyFont="1"/>
    <xf numFmtId="186" fontId="33" fillId="0" borderId="0" xfId="0" applyNumberFormat="1" applyFont="1"/>
    <xf numFmtId="173" fontId="8" fillId="0" borderId="0" xfId="0" applyNumberFormat="1" applyFont="1"/>
    <xf numFmtId="0" fontId="1" fillId="5" borderId="0" xfId="0" applyFont="1" applyFill="1"/>
    <xf numFmtId="9" fontId="1" fillId="5" borderId="0" xfId="0" applyNumberFormat="1" applyFont="1" applyFill="1"/>
    <xf numFmtId="0" fontId="12" fillId="5" borderId="2" xfId="0" applyFont="1" applyFill="1" applyBorder="1" applyAlignment="1">
      <alignment horizontal="center"/>
    </xf>
    <xf numFmtId="0" fontId="12" fillId="5" borderId="0" xfId="0" applyFont="1" applyFill="1" applyAlignment="1">
      <alignment horizontal="centerContinuous"/>
    </xf>
    <xf numFmtId="0" fontId="1" fillId="5" borderId="0" xfId="0" applyFont="1" applyFill="1" applyAlignment="1">
      <alignment horizontal="centerContinuous"/>
    </xf>
    <xf numFmtId="186" fontId="39" fillId="0" borderId="1" xfId="0" applyNumberFormat="1" applyFont="1" applyBorder="1"/>
    <xf numFmtId="172" fontId="7" fillId="3" borderId="3" xfId="0" applyNumberFormat="1" applyFont="1" applyFill="1" applyBorder="1" applyAlignment="1">
      <alignment horizontal="center"/>
    </xf>
    <xf numFmtId="195" fontId="1" fillId="0" borderId="0" xfId="0" applyNumberFormat="1" applyFont="1"/>
    <xf numFmtId="0" fontId="9" fillId="0" borderId="0" xfId="1" applyFont="1" applyAlignment="1">
      <alignment horizontal="left"/>
    </xf>
    <xf numFmtId="164" fontId="20" fillId="0" borderId="0" xfId="1" applyNumberFormat="1" applyFont="1"/>
    <xf numFmtId="164" fontId="9" fillId="0" borderId="0" xfId="1" applyNumberFormat="1" applyFont="1" applyAlignment="1">
      <alignment horizontal="left" indent="1"/>
    </xf>
    <xf numFmtId="9" fontId="7" fillId="0" borderId="0" xfId="1" applyNumberFormat="1" applyFont="1"/>
    <xf numFmtId="0" fontId="10" fillId="6" borderId="8" xfId="8" applyFont="1" applyFill="1" applyBorder="1" applyAlignment="1">
      <alignment horizontal="centerContinuous"/>
    </xf>
    <xf numFmtId="174" fontId="10" fillId="6" borderId="2" xfId="8" applyNumberFormat="1" applyFont="1" applyFill="1" applyBorder="1" applyAlignment="1">
      <alignment horizontal="center"/>
    </xf>
    <xf numFmtId="182" fontId="22" fillId="0" borderId="0" xfId="8" applyNumberFormat="1" applyFont="1" applyAlignment="1">
      <alignment horizontal="center"/>
    </xf>
    <xf numFmtId="179" fontId="7" fillId="0" borderId="0" xfId="0" applyNumberFormat="1" applyFont="1"/>
    <xf numFmtId="181" fontId="7" fillId="0" borderId="0" xfId="0" applyNumberFormat="1" applyFont="1"/>
    <xf numFmtId="0" fontId="7" fillId="0" borderId="0" xfId="1" applyFont="1" applyAlignment="1">
      <alignment horizontal="left"/>
    </xf>
    <xf numFmtId="178" fontId="15" fillId="0" borderId="0" xfId="1" applyNumberFormat="1" applyFont="1" applyAlignment="1">
      <alignment horizontal="left" indent="1"/>
    </xf>
    <xf numFmtId="178" fontId="15" fillId="0" borderId="0" xfId="1" applyNumberFormat="1" applyFont="1"/>
    <xf numFmtId="0" fontId="1" fillId="0" borderId="0" xfId="0" applyFont="1" applyAlignment="1">
      <alignment horizontal="center"/>
    </xf>
    <xf numFmtId="1" fontId="25" fillId="0" borderId="0" xfId="1" applyNumberFormat="1" applyFont="1"/>
    <xf numFmtId="178" fontId="25" fillId="0" borderId="0" xfId="1" applyNumberFormat="1" applyFont="1"/>
    <xf numFmtId="14" fontId="25" fillId="0" borderId="0" xfId="1" applyNumberFormat="1" applyFont="1"/>
    <xf numFmtId="1" fontId="25" fillId="0" borderId="0" xfId="1" applyNumberFormat="1" applyFont="1" applyAlignment="1">
      <alignment horizontal="center"/>
    </xf>
    <xf numFmtId="0" fontId="25" fillId="0" borderId="0" xfId="1" applyFont="1" applyAlignment="1">
      <alignment horizontal="center"/>
    </xf>
    <xf numFmtId="167" fontId="15" fillId="0" borderId="0" xfId="1" applyNumberFormat="1" applyFont="1"/>
    <xf numFmtId="164" fontId="15" fillId="0" borderId="0" xfId="1" applyNumberFormat="1" applyFont="1"/>
    <xf numFmtId="166" fontId="7" fillId="0" borderId="0" xfId="1" applyNumberFormat="1" applyFont="1" applyAlignment="1">
      <alignment horizontal="left" indent="1"/>
    </xf>
    <xf numFmtId="166" fontId="8" fillId="0" borderId="0" xfId="1" applyNumberFormat="1" applyFont="1" applyAlignment="1">
      <alignment horizontal="left" indent="1"/>
    </xf>
    <xf numFmtId="168" fontId="8" fillId="3" borderId="3" xfId="1" applyNumberFormat="1" applyFont="1" applyFill="1" applyBorder="1" applyAlignment="1">
      <alignment horizontal="center"/>
    </xf>
    <xf numFmtId="175" fontId="7" fillId="0" borderId="0" xfId="0" applyNumberFormat="1" applyFont="1"/>
    <xf numFmtId="167" fontId="8" fillId="3" borderId="3" xfId="1" applyNumberFormat="1" applyFont="1" applyFill="1" applyBorder="1" applyAlignment="1">
      <alignment horizontal="center"/>
    </xf>
    <xf numFmtId="14" fontId="21" fillId="4" borderId="2" xfId="1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/>
    </xf>
    <xf numFmtId="166" fontId="8" fillId="0" borderId="0" xfId="0" applyNumberFormat="1" applyFont="1" applyAlignment="1">
      <alignment horizontal="right"/>
    </xf>
    <xf numFmtId="0" fontId="10" fillId="6" borderId="16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/>
    <xf numFmtId="0" fontId="0" fillId="0" borderId="18" xfId="0" applyBorder="1"/>
  </cellXfs>
  <cellStyles count="13">
    <cellStyle name="Normal" xfId="0" builtinId="0"/>
    <cellStyle name="Normal 2" xfId="1" xr:uid="{00000000-0005-0000-0000-000001000000}"/>
    <cellStyle name="Normal 2 2 2" xfId="11" xr:uid="{1EB61D89-8592-4242-930B-E1B80325416B}"/>
    <cellStyle name="Normal 3" xfId="7" xr:uid="{7F56A9AE-D5AA-4EED-A8EF-18B8B87D1E11}"/>
    <cellStyle name="Normal 3 2" xfId="3" xr:uid="{00000000-0005-0000-0000-000002000000}"/>
    <cellStyle name="Normal 3 2 2 2" xfId="9" xr:uid="{4CB1F0DB-5F2B-4E84-8ECF-705DAD9AADE8}"/>
    <cellStyle name="Normal 3 3" xfId="8" xr:uid="{0E73E480-9AAE-4420-A575-30F46257B53D}"/>
    <cellStyle name="Normal 3 3 2" xfId="12" xr:uid="{1FF5F971-CA7D-42AD-B8DA-D6BCD9028B30}"/>
    <cellStyle name="Normal 3 4" xfId="6" xr:uid="{00000000-0005-0000-0000-000003000000}"/>
    <cellStyle name="Normal 5 2" xfId="4" xr:uid="{00000000-0005-0000-0000-000004000000}"/>
    <cellStyle name="Note" xfId="2" builtinId="10"/>
    <cellStyle name="Note 2" xfId="10" xr:uid="{6AD774A3-C785-45FD-9272-1AF4028E7D82}"/>
    <cellStyle name="TextNormal" xfId="5" xr:uid="{00000000-0005-0000-0000-000006000000}"/>
  </cellStyles>
  <dxfs count="0"/>
  <tableStyles count="0" defaultTableStyle="TableStyleMedium9" defaultPivotStyle="PivotStyleLight16"/>
  <colors>
    <mruColors>
      <color rgb="FF0000FF"/>
      <color rgb="FF17375E"/>
      <color rgb="FF8EB4E3"/>
      <color rgb="FFC6D9F1"/>
      <color rgb="FFB2B2B2"/>
      <color rgb="FFFFFF99"/>
      <color rgb="FF558ED5"/>
      <color rgb="FFDEEBF7"/>
      <color rgb="FF97B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AI210"/>
  <sheetViews>
    <sheetView showGridLines="0" tabSelected="1" zoomScaleNormal="100" zoomScaleSheetLayoutView="55" workbookViewId="0">
      <selection activeCell="B2" sqref="B2"/>
    </sheetView>
  </sheetViews>
  <sheetFormatPr defaultColWidth="9.15234375" defaultRowHeight="15.9" outlineLevelRow="1" outlineLevelCol="2" x14ac:dyDescent="0.45"/>
  <cols>
    <col min="1" max="2" width="2.69140625" style="8" customWidth="1"/>
    <col min="3" max="3" width="50.3828125" style="8" bestFit="1" customWidth="1"/>
    <col min="4" max="4" width="15.3828125" style="8" bestFit="1" customWidth="1"/>
    <col min="5" max="8" width="12.84375" style="8" customWidth="1" outlineLevel="2"/>
    <col min="9" max="18" width="12.84375" style="8" customWidth="1" outlineLevel="1"/>
    <col min="19" max="19" width="2.69140625" style="8" customWidth="1"/>
    <col min="20" max="20" width="2.69140625" style="38" customWidth="1"/>
    <col min="21" max="30" width="12.23046875" style="1" customWidth="1"/>
    <col min="31" max="16384" width="9.15234375" style="1"/>
  </cols>
  <sheetData>
    <row r="2" spans="2:31" ht="18.45" x14ac:dyDescent="0.5">
      <c r="B2" s="7" t="str">
        <f>"Simplified Cash Flow Projections and DCF Model - "&amp;Company_Name</f>
        <v>Simplified Cash Flow Projections and DCF Model - Western Midstream Partners, LP</v>
      </c>
    </row>
    <row r="3" spans="2:31" x14ac:dyDescent="0.45">
      <c r="B3" s="40" t="s">
        <v>175</v>
      </c>
    </row>
    <row r="5" spans="2:31" x14ac:dyDescent="0.4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31" x14ac:dyDescent="0.45">
      <c r="B6" s="26" t="s">
        <v>73</v>
      </c>
      <c r="C6" s="11"/>
      <c r="D6" s="29" t="s">
        <v>23</v>
      </c>
      <c r="E6" s="29"/>
      <c r="F6" s="11"/>
      <c r="G6" s="12"/>
      <c r="H6" s="12"/>
      <c r="I6" s="12"/>
      <c r="J6" s="12"/>
      <c r="K6" s="12"/>
      <c r="L6" s="308" t="str">
        <f>$D$6</f>
        <v>Units:</v>
      </c>
      <c r="M6" s="12"/>
      <c r="N6" s="12"/>
      <c r="O6" s="12"/>
      <c r="P6" s="12"/>
      <c r="Q6" s="12"/>
      <c r="R6" s="12"/>
      <c r="T6" s="40"/>
      <c r="U6" s="40"/>
      <c r="V6" s="40"/>
      <c r="W6" s="40"/>
      <c r="X6" s="40"/>
      <c r="Y6" s="40"/>
      <c r="Z6" s="40"/>
      <c r="AA6" s="40"/>
      <c r="AB6" s="40"/>
      <c r="AC6" s="40"/>
      <c r="AE6" s="40"/>
    </row>
    <row r="7" spans="2:31" outlineLevel="1" x14ac:dyDescent="0.45">
      <c r="AE7" s="40"/>
    </row>
    <row r="8" spans="2:31" outlineLevel="1" x14ac:dyDescent="0.45">
      <c r="C8" s="9" t="s">
        <v>0</v>
      </c>
      <c r="D8" s="17" t="s">
        <v>5</v>
      </c>
      <c r="E8" s="45" t="s">
        <v>51</v>
      </c>
      <c r="F8" s="13"/>
      <c r="G8" s="13"/>
      <c r="I8" s="97" t="s">
        <v>77</v>
      </c>
      <c r="J8" s="98"/>
      <c r="K8" s="98"/>
      <c r="L8" s="99" t="s">
        <v>24</v>
      </c>
      <c r="M8" s="100">
        <f>Share_Price*Diluted_Shares</f>
        <v>15665.3568</v>
      </c>
      <c r="N8" s="69"/>
      <c r="O8" s="40"/>
      <c r="P8" s="40"/>
      <c r="Q8" s="40"/>
      <c r="AE8" s="40"/>
    </row>
    <row r="9" spans="2:31" outlineLevel="1" x14ac:dyDescent="0.45">
      <c r="C9" s="9" t="s">
        <v>8</v>
      </c>
      <c r="D9" s="17" t="s">
        <v>5</v>
      </c>
      <c r="E9" s="46" t="s">
        <v>182</v>
      </c>
      <c r="I9" s="72" t="s">
        <v>78</v>
      </c>
      <c r="J9" s="40"/>
      <c r="K9" s="40"/>
      <c r="L9" s="55" t="s">
        <v>24</v>
      </c>
      <c r="M9" s="101">
        <v>-1090.4639999999999</v>
      </c>
      <c r="N9" s="1"/>
      <c r="O9" s="1"/>
      <c r="P9" s="1"/>
      <c r="Q9" s="1"/>
      <c r="AD9" s="40"/>
      <c r="AE9" s="40"/>
    </row>
    <row r="10" spans="2:31" outlineLevel="1" x14ac:dyDescent="0.45">
      <c r="C10" s="9" t="s">
        <v>10</v>
      </c>
      <c r="D10" s="17" t="s">
        <v>2</v>
      </c>
      <c r="E10" s="16">
        <v>45657</v>
      </c>
      <c r="I10" s="72" t="s">
        <v>79</v>
      </c>
      <c r="J10" s="40"/>
      <c r="K10" s="40"/>
      <c r="L10" s="55" t="s">
        <v>24</v>
      </c>
      <c r="M10" s="101">
        <v>0</v>
      </c>
      <c r="N10" s="1"/>
      <c r="O10" s="1"/>
      <c r="P10" s="1"/>
      <c r="Q10" s="77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pans="2:31" outlineLevel="1" x14ac:dyDescent="0.45">
      <c r="C11" s="1" t="s">
        <v>25</v>
      </c>
      <c r="D11" s="17" t="s">
        <v>2</v>
      </c>
      <c r="E11" s="16">
        <v>45747</v>
      </c>
      <c r="I11" s="72" t="s">
        <v>86</v>
      </c>
      <c r="J11" s="40"/>
      <c r="K11" s="40"/>
      <c r="L11" s="55" t="s">
        <v>24</v>
      </c>
      <c r="M11" s="101">
        <v>-541.43499999999995</v>
      </c>
      <c r="N11" s="1"/>
      <c r="O11" s="1"/>
      <c r="P11" s="1"/>
      <c r="Q11" s="77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2:31" outlineLevel="1" x14ac:dyDescent="0.45">
      <c r="C12" s="8" t="s">
        <v>7</v>
      </c>
      <c r="D12" s="17" t="s">
        <v>9</v>
      </c>
      <c r="E12" s="15">
        <v>1000</v>
      </c>
      <c r="I12" s="72" t="s">
        <v>80</v>
      </c>
      <c r="J12" s="40"/>
      <c r="K12" s="40"/>
      <c r="L12" s="55" t="s">
        <v>24</v>
      </c>
      <c r="M12" s="101">
        <v>7580.0780000000004</v>
      </c>
      <c r="N12" s="1"/>
      <c r="O12" s="1"/>
      <c r="P12" s="1"/>
      <c r="Q12" s="7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pans="2:31" outlineLevel="1" x14ac:dyDescent="0.45">
      <c r="C13" s="1"/>
      <c r="D13" s="17"/>
      <c r="E13" s="106"/>
      <c r="I13" s="72" t="s">
        <v>81</v>
      </c>
      <c r="J13" s="40"/>
      <c r="K13" s="40"/>
      <c r="L13" s="55" t="s">
        <v>24</v>
      </c>
      <c r="M13" s="101">
        <v>0</v>
      </c>
      <c r="N13" s="1"/>
      <c r="O13" s="1"/>
      <c r="P13" s="1"/>
      <c r="Q13" s="7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2:31" outlineLevel="1" x14ac:dyDescent="0.45">
      <c r="C14" s="9" t="s">
        <v>1</v>
      </c>
      <c r="D14" s="17" t="s">
        <v>11</v>
      </c>
      <c r="E14" s="107">
        <v>40.96</v>
      </c>
      <c r="I14" s="5" t="s">
        <v>199</v>
      </c>
      <c r="L14" s="55" t="s">
        <v>24</v>
      </c>
      <c r="M14" s="86">
        <v>150.36799999999999</v>
      </c>
      <c r="N14" s="1"/>
      <c r="O14" s="1"/>
      <c r="P14" s="1"/>
      <c r="Q14" s="1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2:31" ht="14.5" customHeight="1" outlineLevel="1" x14ac:dyDescent="0.45">
      <c r="C15" s="1" t="s">
        <v>52</v>
      </c>
      <c r="D15" s="17" t="s">
        <v>12</v>
      </c>
      <c r="E15" s="14">
        <v>382.45499999999998</v>
      </c>
      <c r="I15" s="72" t="s">
        <v>82</v>
      </c>
      <c r="J15" s="40"/>
      <c r="K15" s="40"/>
      <c r="L15" s="55" t="s">
        <v>24</v>
      </c>
      <c r="M15" s="101">
        <v>383.02499999999998</v>
      </c>
      <c r="N15" s="1"/>
      <c r="O15" s="1"/>
      <c r="P15" s="1"/>
      <c r="Q15" s="1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2:31" outlineLevel="1" x14ac:dyDescent="0.45">
      <c r="C16" s="40" t="s">
        <v>44</v>
      </c>
      <c r="D16" s="55" t="s">
        <v>9</v>
      </c>
      <c r="E16" s="56">
        <v>6</v>
      </c>
      <c r="I16" s="72" t="s">
        <v>83</v>
      </c>
      <c r="J16" s="40"/>
      <c r="K16" s="40"/>
      <c r="L16" s="55" t="s">
        <v>24</v>
      </c>
      <c r="M16" s="101">
        <v>0</v>
      </c>
      <c r="N16" s="1"/>
      <c r="O16" s="1"/>
      <c r="P16" s="47"/>
      <c r="Q16" s="77"/>
      <c r="T16" s="39"/>
      <c r="U16" s="41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2:31" outlineLevel="1" x14ac:dyDescent="0.45">
      <c r="C17" s="1"/>
      <c r="D17" s="1"/>
      <c r="E17" s="1"/>
      <c r="I17" s="72" t="s">
        <v>84</v>
      </c>
      <c r="J17" s="40"/>
      <c r="K17" s="40"/>
      <c r="L17" s="55" t="s">
        <v>24</v>
      </c>
      <c r="M17" s="101">
        <v>0</v>
      </c>
      <c r="N17" s="1"/>
      <c r="O17" s="1"/>
      <c r="P17" s="1"/>
      <c r="Q17" s="3"/>
      <c r="T17" s="39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2:31" outlineLevel="1" x14ac:dyDescent="0.45">
      <c r="C18" s="1" t="s">
        <v>30</v>
      </c>
      <c r="D18" s="17" t="s">
        <v>6</v>
      </c>
      <c r="E18" s="33">
        <v>0.01</v>
      </c>
      <c r="I18" s="102" t="s">
        <v>85</v>
      </c>
      <c r="J18" s="103"/>
      <c r="K18" s="103"/>
      <c r="L18" s="104" t="s">
        <v>24</v>
      </c>
      <c r="M18" s="105">
        <f>SUM(M8:M17)</f>
        <v>22146.928800000002</v>
      </c>
      <c r="N18" s="1"/>
      <c r="O18" s="1"/>
      <c r="P18" s="1"/>
      <c r="Q18" s="78"/>
      <c r="T18" s="39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2:31" outlineLevel="1" x14ac:dyDescent="0.45">
      <c r="C19" s="1" t="s">
        <v>65</v>
      </c>
      <c r="D19" s="17" t="s">
        <v>6</v>
      </c>
      <c r="E19" s="33">
        <f>1/3</f>
        <v>0.33333333333333331</v>
      </c>
      <c r="N19" s="1"/>
      <c r="O19" s="1"/>
      <c r="P19" s="1"/>
      <c r="Q19" s="78"/>
      <c r="T19" s="39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2:31" x14ac:dyDescent="0.45">
      <c r="N20" s="40"/>
      <c r="O20" s="40"/>
      <c r="P20" s="40"/>
      <c r="Q20" s="40"/>
      <c r="R20" s="40"/>
      <c r="AE20" s="40"/>
    </row>
    <row r="21" spans="2:31" x14ac:dyDescent="0.45">
      <c r="B21" s="10"/>
      <c r="C21" s="10"/>
      <c r="D21" s="10"/>
      <c r="E21" s="22" t="s">
        <v>14</v>
      </c>
      <c r="F21" s="22"/>
      <c r="G21" s="23"/>
      <c r="H21" s="24"/>
      <c r="I21" s="22" t="s">
        <v>13</v>
      </c>
      <c r="J21" s="23"/>
      <c r="K21" s="23"/>
      <c r="L21" s="23"/>
      <c r="M21" s="23"/>
      <c r="N21" s="23"/>
      <c r="O21" s="23"/>
      <c r="P21" s="23"/>
      <c r="Q21" s="23"/>
      <c r="R21" s="23"/>
      <c r="U21" s="287" t="s">
        <v>197</v>
      </c>
      <c r="V21" s="287" t="s">
        <v>195</v>
      </c>
      <c r="AE21" s="40"/>
    </row>
    <row r="22" spans="2:31" x14ac:dyDescent="0.45">
      <c r="B22" s="26" t="s">
        <v>17</v>
      </c>
      <c r="C22" s="11"/>
      <c r="D22" s="29" t="str">
        <f>$D$6</f>
        <v>Units:</v>
      </c>
      <c r="E22" s="20">
        <f t="shared" ref="E22:F22" si="0">EOMONTH(F22,-12)</f>
        <v>44561</v>
      </c>
      <c r="F22" s="20">
        <f t="shared" si="0"/>
        <v>44926</v>
      </c>
      <c r="G22" s="20">
        <f>EOMONTH(H22,-12)</f>
        <v>45291</v>
      </c>
      <c r="H22" s="25">
        <f>Hist_Year</f>
        <v>45657</v>
      </c>
      <c r="I22" s="20">
        <f>EOMONTH(H22,12)</f>
        <v>46022</v>
      </c>
      <c r="J22" s="20">
        <f t="shared" ref="J22:R22" si="1">EOMONTH(I22,12)</f>
        <v>46387</v>
      </c>
      <c r="K22" s="20">
        <f t="shared" si="1"/>
        <v>46752</v>
      </c>
      <c r="L22" s="20">
        <f t="shared" si="1"/>
        <v>47118</v>
      </c>
      <c r="M22" s="20">
        <f t="shared" si="1"/>
        <v>47483</v>
      </c>
      <c r="N22" s="20">
        <f t="shared" si="1"/>
        <v>47848</v>
      </c>
      <c r="O22" s="20">
        <f t="shared" si="1"/>
        <v>48213</v>
      </c>
      <c r="P22" s="20">
        <f t="shared" si="1"/>
        <v>48579</v>
      </c>
      <c r="Q22" s="20">
        <f t="shared" si="1"/>
        <v>48944</v>
      </c>
      <c r="R22" s="20">
        <f t="shared" si="1"/>
        <v>49309</v>
      </c>
      <c r="U22" s="288" t="s">
        <v>196</v>
      </c>
      <c r="V22" s="288" t="s">
        <v>196</v>
      </c>
      <c r="AE22" s="40"/>
    </row>
    <row r="23" spans="2:31" x14ac:dyDescent="0.45">
      <c r="C23" s="6" t="s">
        <v>50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31" outlineLevel="1" x14ac:dyDescent="0.45">
      <c r="C24" s="5" t="s">
        <v>33</v>
      </c>
      <c r="D24" s="17" t="s">
        <v>24</v>
      </c>
      <c r="E24" s="50">
        <v>1536.163</v>
      </c>
      <c r="F24" s="50">
        <v>1676.732</v>
      </c>
      <c r="G24" s="50">
        <v>1738.125</v>
      </c>
      <c r="H24" s="50">
        <v>2073.5329999999999</v>
      </c>
      <c r="I24" s="3">
        <f t="shared" ref="I24:R24" si="2">I28*I40*(I22-H22)/Units</f>
        <v>2248.1670872490145</v>
      </c>
      <c r="J24" s="3">
        <f t="shared" si="2"/>
        <v>2405.7990974402319</v>
      </c>
      <c r="K24" s="3">
        <f t="shared" si="2"/>
        <v>2574.1922374573396</v>
      </c>
      <c r="L24" s="3">
        <f t="shared" si="2"/>
        <v>2735.2979505748585</v>
      </c>
      <c r="M24" s="3">
        <f t="shared" si="2"/>
        <v>2890.2841955940253</v>
      </c>
      <c r="N24" s="3">
        <f t="shared" si="2"/>
        <v>3047.1853376405575</v>
      </c>
      <c r="O24" s="3">
        <f t="shared" si="2"/>
        <v>3217.0659202140187</v>
      </c>
      <c r="P24" s="3">
        <f t="shared" si="2"/>
        <v>3405.7225982666787</v>
      </c>
      <c r="Q24" s="3">
        <f t="shared" si="2"/>
        <v>3585.7676122645275</v>
      </c>
      <c r="R24" s="3">
        <f t="shared" si="2"/>
        <v>3785.6741566482742</v>
      </c>
    </row>
    <row r="25" spans="2:31" outlineLevel="1" x14ac:dyDescent="0.45">
      <c r="C25" s="5" t="s">
        <v>39</v>
      </c>
      <c r="D25" s="17" t="s">
        <v>24</v>
      </c>
      <c r="E25" s="48">
        <v>485.21199999999999</v>
      </c>
      <c r="F25" s="48">
        <v>591.68000000000006</v>
      </c>
      <c r="G25" s="48">
        <v>627.98500000000001</v>
      </c>
      <c r="H25" s="48">
        <v>737.67000000000007</v>
      </c>
      <c r="I25" s="4">
        <f t="shared" ref="I25:R25" si="3">I31*I43*(I22-H22)/Units</f>
        <v>804.57699238613748</v>
      </c>
      <c r="J25" s="4">
        <f t="shared" si="3"/>
        <v>892.83776947222088</v>
      </c>
      <c r="K25" s="4">
        <f t="shared" si="3"/>
        <v>985.85058416790798</v>
      </c>
      <c r="L25" s="4">
        <f t="shared" si="3"/>
        <v>1091.2604810345119</v>
      </c>
      <c r="M25" s="4">
        <f t="shared" si="3"/>
        <v>1195.3638378550254</v>
      </c>
      <c r="N25" s="4">
        <f t="shared" si="3"/>
        <v>1274.138314769672</v>
      </c>
      <c r="O25" s="4">
        <f t="shared" si="3"/>
        <v>1351.6059243076679</v>
      </c>
      <c r="P25" s="4">
        <f t="shared" si="3"/>
        <v>1430.7996629882944</v>
      </c>
      <c r="Q25" s="4">
        <f t="shared" si="3"/>
        <v>1499.0910272307601</v>
      </c>
      <c r="R25" s="4">
        <f t="shared" si="3"/>
        <v>1574.9450332086365</v>
      </c>
    </row>
    <row r="26" spans="2:31" outlineLevel="1" x14ac:dyDescent="0.45">
      <c r="C26" s="52" t="s">
        <v>43</v>
      </c>
      <c r="D26" s="53" t="s">
        <v>24</v>
      </c>
      <c r="E26" s="54">
        <f>SUM(E24:E25)</f>
        <v>2021.375</v>
      </c>
      <c r="F26" s="54">
        <f t="shared" ref="F26:H26" si="4">SUM(F24:F25)</f>
        <v>2268.4120000000003</v>
      </c>
      <c r="G26" s="54">
        <f t="shared" si="4"/>
        <v>2366.11</v>
      </c>
      <c r="H26" s="54">
        <f t="shared" si="4"/>
        <v>2811.203</v>
      </c>
      <c r="I26" s="54">
        <f>SUM(I24:I25)</f>
        <v>3052.744079635152</v>
      </c>
      <c r="J26" s="54">
        <f t="shared" ref="J26:R26" si="5">SUM(J24:J25)</f>
        <v>3298.6368669124527</v>
      </c>
      <c r="K26" s="54">
        <f t="shared" si="5"/>
        <v>3560.0428216252476</v>
      </c>
      <c r="L26" s="54">
        <f t="shared" si="5"/>
        <v>3826.5584316093705</v>
      </c>
      <c r="M26" s="54">
        <f t="shared" si="5"/>
        <v>4085.6480334490507</v>
      </c>
      <c r="N26" s="54">
        <f t="shared" si="5"/>
        <v>4321.3236524102294</v>
      </c>
      <c r="O26" s="54">
        <f t="shared" si="5"/>
        <v>4568.6718445216866</v>
      </c>
      <c r="P26" s="54">
        <f t="shared" si="5"/>
        <v>4836.5222612549733</v>
      </c>
      <c r="Q26" s="54">
        <f t="shared" si="5"/>
        <v>5084.8586394952872</v>
      </c>
      <c r="R26" s="54">
        <f t="shared" si="5"/>
        <v>5360.6191898569105</v>
      </c>
      <c r="U26" s="36">
        <f>(H26/E26)^(1/YEARFRAC(E$22,H$22))-1</f>
        <v>0.11621650298179809</v>
      </c>
      <c r="V26" s="36">
        <f>(R26/H26)^(1/YEARFRAC(H$22,R$22))-1</f>
        <v>6.6675389040532052E-2</v>
      </c>
    </row>
    <row r="27" spans="2:31" outlineLevel="1" x14ac:dyDescent="0.45">
      <c r="C27" s="5"/>
      <c r="D27" s="17"/>
      <c r="E27" s="50"/>
      <c r="F27" s="50"/>
      <c r="G27" s="50"/>
      <c r="H27" s="60"/>
      <c r="I27" s="18"/>
      <c r="L27" s="19"/>
      <c r="N27" s="18"/>
      <c r="Q27" s="19"/>
    </row>
    <row r="28" spans="2:31" outlineLevel="1" x14ac:dyDescent="0.45">
      <c r="C28" s="5" t="s">
        <v>35</v>
      </c>
      <c r="D28" s="17" t="s">
        <v>36</v>
      </c>
      <c r="E28" s="42">
        <f>E24*Units/(E40*(E$22-EOMONTH(E$22,-12)))</f>
        <v>0.97807709816980193</v>
      </c>
      <c r="F28" s="42">
        <f>F24*Units/(F40*(F$22-EOMONTH(F$22,-12)))</f>
        <v>1.0521727671483883</v>
      </c>
      <c r="G28" s="42">
        <f>G24*Units/(G40*(G$22-EOMONTH(G$22,-12)))</f>
        <v>1.0367921405116183</v>
      </c>
      <c r="H28" s="42">
        <f>H24*Units/(H40*(H$22-EOMONTH(H$22,-12)))</f>
        <v>1.0840778244130336</v>
      </c>
      <c r="I28" s="62">
        <f>H28*(1+I29)</f>
        <v>1.1166001591454247</v>
      </c>
      <c r="J28" s="62">
        <f t="shared" ref="J28:R28" si="6">I28*(1+J29)</f>
        <v>1.1500981639197874</v>
      </c>
      <c r="K28" s="62">
        <f t="shared" si="6"/>
        <v>1.1846011088373811</v>
      </c>
      <c r="L28" s="62">
        <f t="shared" si="6"/>
        <v>1.2201391421025025</v>
      </c>
      <c r="M28" s="62">
        <f t="shared" si="6"/>
        <v>1.2567433163655777</v>
      </c>
      <c r="N28" s="62">
        <f t="shared" si="6"/>
        <v>1.288161899274717</v>
      </c>
      <c r="O28" s="62">
        <f t="shared" si="6"/>
        <v>1.3203659467565849</v>
      </c>
      <c r="P28" s="62">
        <f t="shared" si="6"/>
        <v>1.3533750954254995</v>
      </c>
      <c r="Q28" s="62">
        <f t="shared" si="6"/>
        <v>1.3872094728111368</v>
      </c>
      <c r="R28" s="62">
        <f t="shared" si="6"/>
        <v>1.4218897096314151</v>
      </c>
      <c r="U28" s="36">
        <f>(H28/E28)^(1/YEARFRAC(E$22,H$22))-1</f>
        <v>3.4893812238723676E-2</v>
      </c>
      <c r="V28" s="36">
        <f>(R28/H28)^(1/YEARFRAC(H$22,R$22))-1</f>
        <v>2.7496958632968305E-2</v>
      </c>
    </row>
    <row r="29" spans="2:31" outlineLevel="1" x14ac:dyDescent="0.45">
      <c r="C29" s="27" t="s">
        <v>18</v>
      </c>
      <c r="D29" s="17" t="s">
        <v>6</v>
      </c>
      <c r="E29" s="59">
        <v>2.9554840178738884E-2</v>
      </c>
      <c r="F29" s="30">
        <f>F28/E28-1</f>
        <v>7.5756470647595942E-2</v>
      </c>
      <c r="G29" s="30">
        <f t="shared" ref="G29:H29" si="7">G28/F28-1</f>
        <v>-1.4617966855818509E-2</v>
      </c>
      <c r="H29" s="30">
        <f t="shared" si="7"/>
        <v>4.5607679740011786E-2</v>
      </c>
      <c r="I29" s="33">
        <v>0.03</v>
      </c>
      <c r="J29" s="33">
        <v>0.03</v>
      </c>
      <c r="K29" s="33">
        <v>0.03</v>
      </c>
      <c r="L29" s="33">
        <v>0.03</v>
      </c>
      <c r="M29" s="33">
        <v>0.03</v>
      </c>
      <c r="N29" s="33">
        <v>2.5000000000000001E-2</v>
      </c>
      <c r="O29" s="33">
        <v>2.5000000000000001E-2</v>
      </c>
      <c r="P29" s="33">
        <v>2.5000000000000001E-2</v>
      </c>
      <c r="Q29" s="33">
        <v>2.5000000000000001E-2</v>
      </c>
      <c r="R29" s="33">
        <v>2.5000000000000001E-2</v>
      </c>
    </row>
    <row r="30" spans="2:31" outlineLevel="1" x14ac:dyDescent="0.45">
      <c r="C30" s="5"/>
      <c r="D30" s="17"/>
      <c r="E30" s="51"/>
      <c r="F30" s="51"/>
      <c r="G30" s="51"/>
      <c r="H30" s="60"/>
      <c r="I30" s="18"/>
      <c r="L30" s="19"/>
      <c r="N30" s="18"/>
      <c r="Q30" s="19"/>
    </row>
    <row r="31" spans="2:31" outlineLevel="1" x14ac:dyDescent="0.45">
      <c r="C31" s="5" t="s">
        <v>40</v>
      </c>
      <c r="D31" s="17" t="s">
        <v>31</v>
      </c>
      <c r="E31" s="42">
        <f>E25*Units/(E43*(E$22-EOMONTH(E$22,-12)))</f>
        <v>0.95705395623144673</v>
      </c>
      <c r="F31" s="42">
        <f>F25*Units/(F43*(F$22-EOMONTH(F$22,-12)))</f>
        <v>1.0505775086781668</v>
      </c>
      <c r="G31" s="42">
        <f>G25*Units/(G43*(G$22-EOMONTH(G$22,-12)))</f>
        <v>1.0156474907408906</v>
      </c>
      <c r="H31" s="42">
        <f>H25*Units/(H43*(H$22-EOMONTH(H$22,-12)))</f>
        <v>1.1940117318001711</v>
      </c>
      <c r="I31" s="62">
        <f>H31*(1+I32)</f>
        <v>1.2656524357081813</v>
      </c>
      <c r="J31" s="62">
        <f t="shared" ref="J31" si="8">I31*(1+J32)</f>
        <v>1.3415915818506723</v>
      </c>
      <c r="K31" s="62">
        <f t="shared" ref="K31" si="9">J31*(1+K32)</f>
        <v>1.4153791188524592</v>
      </c>
      <c r="L31" s="62">
        <f t="shared" ref="L31" si="10">K31*(1+L32)</f>
        <v>1.4932249703893443</v>
      </c>
      <c r="M31" s="62">
        <f t="shared" ref="M31" si="11">L31*(1+M32)</f>
        <v>1.5678862189088116</v>
      </c>
      <c r="N31" s="62">
        <f t="shared" ref="N31" si="12">M31*(1+N32)</f>
        <v>1.638441098759708</v>
      </c>
      <c r="O31" s="62">
        <f t="shared" ref="O31" si="13">N31*(1+O32)</f>
        <v>1.7039787427100963</v>
      </c>
      <c r="P31" s="62">
        <f t="shared" ref="P31" si="14">O31*(1+P32)</f>
        <v>1.7636179987049496</v>
      </c>
      <c r="Q31" s="62">
        <f t="shared" ref="Q31" si="15">P31*(1+Q32)</f>
        <v>1.8165265386660983</v>
      </c>
      <c r="R31" s="62">
        <f t="shared" ref="R31" si="16">Q31*(1+R32)</f>
        <v>1.8710223348260813</v>
      </c>
      <c r="U31" s="36">
        <f>(H31/E31)^(1/YEARFRAC(E$22,H$22))-1</f>
        <v>7.6524844329599828E-2</v>
      </c>
      <c r="V31" s="36">
        <f>(R31/H31)^(1/YEARFRAC(H$22,R$22))-1</f>
        <v>4.5940639889093138E-2</v>
      </c>
    </row>
    <row r="32" spans="2:31" outlineLevel="1" x14ac:dyDescent="0.45">
      <c r="C32" s="27" t="s">
        <v>18</v>
      </c>
      <c r="D32" s="17" t="s">
        <v>6</v>
      </c>
      <c r="E32" s="59">
        <v>-0.12518006061915588</v>
      </c>
      <c r="F32" s="30">
        <f>F31/E31-1</f>
        <v>9.7720250606333714E-2</v>
      </c>
      <c r="G32" s="30">
        <f t="shared" ref="G32:H32" si="17">G31/F31-1</f>
        <v>-3.3248396856720319E-2</v>
      </c>
      <c r="H32" s="30">
        <f t="shared" si="17"/>
        <v>0.17561628683704811</v>
      </c>
      <c r="I32" s="33">
        <v>0.06</v>
      </c>
      <c r="J32" s="33">
        <v>0.06</v>
      </c>
      <c r="K32" s="33">
        <v>5.5E-2</v>
      </c>
      <c r="L32" s="33">
        <v>5.5E-2</v>
      </c>
      <c r="M32" s="33">
        <v>0.05</v>
      </c>
      <c r="N32" s="33">
        <v>4.4999999999999998E-2</v>
      </c>
      <c r="O32" s="33">
        <v>0.04</v>
      </c>
      <c r="P32" s="33">
        <v>3.5000000000000003E-2</v>
      </c>
      <c r="Q32" s="33">
        <v>0.03</v>
      </c>
      <c r="R32" s="33">
        <v>0.03</v>
      </c>
    </row>
    <row r="33" spans="3:22" outlineLevel="1" x14ac:dyDescent="0.45">
      <c r="E33" s="42"/>
      <c r="I33" s="18"/>
      <c r="L33" s="19"/>
      <c r="N33" s="18"/>
      <c r="Q33" s="19"/>
    </row>
    <row r="34" spans="3:22" outlineLevel="1" x14ac:dyDescent="0.45">
      <c r="C34" s="1" t="s">
        <v>57</v>
      </c>
      <c r="D34" s="17" t="s">
        <v>24</v>
      </c>
      <c r="E34" s="4">
        <f>E26</f>
        <v>2021.375</v>
      </c>
      <c r="F34" s="4">
        <f t="shared" ref="F34:H34" si="18">F26</f>
        <v>2268.4120000000003</v>
      </c>
      <c r="G34" s="4">
        <f t="shared" si="18"/>
        <v>2366.11</v>
      </c>
      <c r="H34" s="4">
        <f t="shared" si="18"/>
        <v>2811.203</v>
      </c>
      <c r="I34" s="4">
        <f>I26</f>
        <v>3052.744079635152</v>
      </c>
      <c r="J34" s="4">
        <f t="shared" ref="J34:R34" si="19">J26</f>
        <v>3298.6368669124527</v>
      </c>
      <c r="K34" s="4">
        <f t="shared" si="19"/>
        <v>3560.0428216252476</v>
      </c>
      <c r="L34" s="4">
        <f t="shared" si="19"/>
        <v>3826.5584316093705</v>
      </c>
      <c r="M34" s="4">
        <f t="shared" si="19"/>
        <v>4085.6480334490507</v>
      </c>
      <c r="N34" s="4">
        <f t="shared" si="19"/>
        <v>4321.3236524102294</v>
      </c>
      <c r="O34" s="4">
        <f t="shared" si="19"/>
        <v>4568.6718445216866</v>
      </c>
      <c r="P34" s="4">
        <f t="shared" si="19"/>
        <v>4836.5222612549733</v>
      </c>
      <c r="Q34" s="4">
        <f t="shared" si="19"/>
        <v>5084.8586394952872</v>
      </c>
      <c r="R34" s="4">
        <f t="shared" si="19"/>
        <v>5360.6191898569105</v>
      </c>
    </row>
    <row r="35" spans="3:22" outlineLevel="1" x14ac:dyDescent="0.45">
      <c r="C35" s="5" t="s">
        <v>58</v>
      </c>
      <c r="D35" s="17" t="s">
        <v>24</v>
      </c>
      <c r="E35" s="21">
        <f>E37-E36-E34</f>
        <v>304.15100000000029</v>
      </c>
      <c r="F35" s="21">
        <f t="shared" ref="F35:H35" si="20">F37-F36-F34</f>
        <v>400.94399999999951</v>
      </c>
      <c r="G35" s="21">
        <f t="shared" si="20"/>
        <v>139.69799999999987</v>
      </c>
      <c r="H35" s="21">
        <f t="shared" si="20"/>
        <v>143.5920000000001</v>
      </c>
      <c r="I35" s="81">
        <f>I73*I34</f>
        <v>152.63720398175761</v>
      </c>
      <c r="J35" s="81">
        <f t="shared" ref="J35:R35" si="21">J73*J34</f>
        <v>164.93184334562264</v>
      </c>
      <c r="K35" s="81">
        <f t="shared" si="21"/>
        <v>178.00214108126238</v>
      </c>
      <c r="L35" s="81">
        <f t="shared" si="21"/>
        <v>191.32792158046854</v>
      </c>
      <c r="M35" s="81">
        <f t="shared" si="21"/>
        <v>204.28240167245255</v>
      </c>
      <c r="N35" s="81">
        <f t="shared" si="21"/>
        <v>216.06618262051148</v>
      </c>
      <c r="O35" s="81">
        <f t="shared" si="21"/>
        <v>228.43359222608433</v>
      </c>
      <c r="P35" s="81">
        <f t="shared" si="21"/>
        <v>241.82611306274868</v>
      </c>
      <c r="Q35" s="81">
        <f t="shared" si="21"/>
        <v>254.24293197476436</v>
      </c>
      <c r="R35" s="81">
        <f t="shared" si="21"/>
        <v>268.03095949284551</v>
      </c>
    </row>
    <row r="36" spans="3:22" outlineLevel="1" x14ac:dyDescent="0.45">
      <c r="C36" s="5" t="s">
        <v>15</v>
      </c>
      <c r="D36" s="17" t="s">
        <v>24</v>
      </c>
      <c r="E36" s="82">
        <f>-E99</f>
        <v>551.62900000000002</v>
      </c>
      <c r="F36" s="82">
        <f t="shared" ref="F36:H36" si="22">-F99</f>
        <v>582.36500000000001</v>
      </c>
      <c r="G36" s="82">
        <f t="shared" si="22"/>
        <v>600.66800000000001</v>
      </c>
      <c r="H36" s="82">
        <f t="shared" si="22"/>
        <v>650.428</v>
      </c>
      <c r="I36" s="82">
        <f>I80*I56</f>
        <v>679.71968141050604</v>
      </c>
      <c r="J36" s="82">
        <f t="shared" ref="J36:R36" si="23">J80*J56</f>
        <v>712.2183482020821</v>
      </c>
      <c r="K36" s="82">
        <f t="shared" si="23"/>
        <v>746.21302794912856</v>
      </c>
      <c r="L36" s="82">
        <f t="shared" si="23"/>
        <v>781.94232636128709</v>
      </c>
      <c r="M36" s="82">
        <f t="shared" si="23"/>
        <v>814.81073401734318</v>
      </c>
      <c r="N36" s="82">
        <f t="shared" si="23"/>
        <v>845.21951768670169</v>
      </c>
      <c r="O36" s="82">
        <f t="shared" si="23"/>
        <v>874.4183612438818</v>
      </c>
      <c r="P36" s="82">
        <f t="shared" si="23"/>
        <v>907.00201602477944</v>
      </c>
      <c r="Q36" s="82">
        <f t="shared" si="23"/>
        <v>935.5632009360819</v>
      </c>
      <c r="R36" s="82">
        <f t="shared" si="23"/>
        <v>967.56432955530136</v>
      </c>
    </row>
    <row r="37" spans="3:22" outlineLevel="1" x14ac:dyDescent="0.45">
      <c r="C37" s="52" t="s">
        <v>45</v>
      </c>
      <c r="D37" s="53" t="s">
        <v>24</v>
      </c>
      <c r="E37" s="47">
        <f>E93</f>
        <v>2877.1550000000002</v>
      </c>
      <c r="F37" s="47">
        <f t="shared" ref="F37:H37" si="24">F93</f>
        <v>3251.721</v>
      </c>
      <c r="G37" s="47">
        <f t="shared" si="24"/>
        <v>3106.4760000000001</v>
      </c>
      <c r="H37" s="47">
        <f t="shared" si="24"/>
        <v>3605.223</v>
      </c>
      <c r="I37" s="87">
        <f>SUM(I34:I36)</f>
        <v>3885.1009650274154</v>
      </c>
      <c r="J37" s="87">
        <f t="shared" ref="J37:R37" si="25">SUM(J34:J36)</f>
        <v>4175.7870584601578</v>
      </c>
      <c r="K37" s="87">
        <f t="shared" si="25"/>
        <v>4484.2579906556384</v>
      </c>
      <c r="L37" s="87">
        <f t="shared" si="25"/>
        <v>4799.8286795511267</v>
      </c>
      <c r="M37" s="87">
        <f t="shared" si="25"/>
        <v>5104.7411691388461</v>
      </c>
      <c r="N37" s="87">
        <f t="shared" si="25"/>
        <v>5382.6093527174426</v>
      </c>
      <c r="O37" s="87">
        <f t="shared" si="25"/>
        <v>5671.5237979916528</v>
      </c>
      <c r="P37" s="87">
        <f t="shared" si="25"/>
        <v>5985.3503903425017</v>
      </c>
      <c r="Q37" s="87">
        <f t="shared" si="25"/>
        <v>6274.6647724061331</v>
      </c>
      <c r="R37" s="87">
        <f t="shared" si="25"/>
        <v>6596.2144789050581</v>
      </c>
      <c r="U37" s="36">
        <f>(H37/E37)^(1/YEARFRAC(E$22,H$22))-1</f>
        <v>7.8093161626835661E-2</v>
      </c>
      <c r="V37" s="36">
        <f>(R37/H37)^(1/YEARFRAC(H$22,R$22))-1</f>
        <v>6.2273294675381674E-2</v>
      </c>
    </row>
    <row r="38" spans="3:22" x14ac:dyDescent="0.45">
      <c r="E38" s="42"/>
      <c r="I38" s="18"/>
      <c r="L38" s="19"/>
      <c r="N38" s="18"/>
      <c r="Q38" s="19"/>
    </row>
    <row r="39" spans="3:22" x14ac:dyDescent="0.45">
      <c r="C39" s="6" t="s">
        <v>37</v>
      </c>
      <c r="D39" s="6"/>
      <c r="E39" s="96">
        <f>$E$22</f>
        <v>44561</v>
      </c>
      <c r="F39" s="96">
        <f>$F$22</f>
        <v>44926</v>
      </c>
      <c r="G39" s="96">
        <f>$G$22</f>
        <v>45291</v>
      </c>
      <c r="H39" s="96">
        <f>$H$22</f>
        <v>45657</v>
      </c>
      <c r="I39" s="96">
        <f>$I$22</f>
        <v>46022</v>
      </c>
      <c r="J39" s="96">
        <f>$J$22</f>
        <v>46387</v>
      </c>
      <c r="K39" s="96">
        <f>$K$22</f>
        <v>46752</v>
      </c>
      <c r="L39" s="96">
        <f>$L$22</f>
        <v>47118</v>
      </c>
      <c r="M39" s="96">
        <f>$M$22</f>
        <v>47483</v>
      </c>
      <c r="N39" s="96">
        <f>$N$22</f>
        <v>47848</v>
      </c>
      <c r="O39" s="96">
        <f>$O$22</f>
        <v>48213</v>
      </c>
      <c r="P39" s="96">
        <f>$P$22</f>
        <v>48579</v>
      </c>
      <c r="Q39" s="96">
        <f>$Q$22</f>
        <v>48944</v>
      </c>
      <c r="R39" s="96">
        <f>$R$22</f>
        <v>49309</v>
      </c>
    </row>
    <row r="40" spans="3:22" outlineLevel="1" x14ac:dyDescent="0.45">
      <c r="C40" s="5" t="s">
        <v>33</v>
      </c>
      <c r="D40" s="17" t="s">
        <v>34</v>
      </c>
      <c r="E40" s="49">
        <v>4303</v>
      </c>
      <c r="F40" s="49">
        <v>4366</v>
      </c>
      <c r="G40" s="49">
        <v>4593</v>
      </c>
      <c r="H40" s="49">
        <v>5226</v>
      </c>
      <c r="I40" s="57">
        <f>I49*I58</f>
        <v>5516.1750000000002</v>
      </c>
      <c r="J40" s="57">
        <f t="shared" ref="J40:R40" si="26">J49*J58</f>
        <v>5731.0154999999995</v>
      </c>
      <c r="K40" s="57">
        <f t="shared" si="26"/>
        <v>5953.5496125000009</v>
      </c>
      <c r="L40" s="57">
        <f t="shared" si="26"/>
        <v>6125.1142680000012</v>
      </c>
      <c r="M40" s="57">
        <f t="shared" si="26"/>
        <v>6300.8784165600009</v>
      </c>
      <c r="N40" s="57">
        <f t="shared" si="26"/>
        <v>6480.9035141760005</v>
      </c>
      <c r="O40" s="57">
        <f t="shared" si="26"/>
        <v>6675.3306196012809</v>
      </c>
      <c r="P40" s="57">
        <f t="shared" si="26"/>
        <v>6875.5905381893199</v>
      </c>
      <c r="Q40" s="57">
        <f t="shared" si="26"/>
        <v>7081.8582543349994</v>
      </c>
      <c r="R40" s="57">
        <f t="shared" si="26"/>
        <v>7294.3140019650491</v>
      </c>
      <c r="U40" s="36">
        <f>(H40/E40)^(1/YEARFRAC(E$22,H$22))-1</f>
        <v>6.6922039392936394E-2</v>
      </c>
      <c r="V40" s="36">
        <f>(R40/H40)^(1/YEARFRAC(H$22,R$22))-1</f>
        <v>3.3907069584979466E-2</v>
      </c>
    </row>
    <row r="41" spans="3:22" outlineLevel="1" x14ac:dyDescent="0.45">
      <c r="C41" s="61" t="s">
        <v>18</v>
      </c>
      <c r="D41" s="17" t="s">
        <v>6</v>
      </c>
      <c r="E41" s="108">
        <v>-2.9325513196480912E-2</v>
      </c>
      <c r="F41" s="36">
        <f>F40/E40-1</f>
        <v>1.4640948175691282E-2</v>
      </c>
      <c r="G41" s="36">
        <f t="shared" ref="G41:H41" si="27">G40/F40-1</f>
        <v>5.1992670636738403E-2</v>
      </c>
      <c r="H41" s="36">
        <f t="shared" si="27"/>
        <v>0.13781841933376882</v>
      </c>
      <c r="I41" s="36">
        <f t="shared" ref="I41" si="28">I40/H40-1</f>
        <v>5.5525258323765758E-2</v>
      </c>
      <c r="J41" s="36">
        <f t="shared" ref="J41" si="29">J40/I40-1</f>
        <v>3.8947368421052619E-2</v>
      </c>
      <c r="K41" s="36">
        <f t="shared" ref="K41" si="30">K40/J40-1</f>
        <v>3.8829787234042845E-2</v>
      </c>
      <c r="L41" s="36">
        <f t="shared" ref="L41" si="31">L40/K40-1</f>
        <v>2.8817204301075261E-2</v>
      </c>
      <c r="M41" s="36">
        <f t="shared" ref="M41" si="32">M40/L40-1</f>
        <v>2.8695652173913011E-2</v>
      </c>
      <c r="N41" s="36">
        <f t="shared" ref="N41" si="33">N40/M40-1</f>
        <v>2.857142857142847E-2</v>
      </c>
      <c r="O41" s="36">
        <f t="shared" ref="O41" si="34">O40/N40-1</f>
        <v>3.0000000000000027E-2</v>
      </c>
      <c r="P41" s="36">
        <f t="shared" ref="P41" si="35">P40/O40-1</f>
        <v>3.0000000000000027E-2</v>
      </c>
      <c r="Q41" s="36">
        <f t="shared" ref="Q41" si="36">Q40/P40-1</f>
        <v>3.0000000000000027E-2</v>
      </c>
      <c r="R41" s="36">
        <f t="shared" ref="R41" si="37">R40/Q40-1</f>
        <v>3.0000000000000027E-2</v>
      </c>
    </row>
    <row r="42" spans="3:22" outlineLevel="1" x14ac:dyDescent="0.45">
      <c r="C42" s="5"/>
      <c r="D42" s="17"/>
      <c r="E42" s="49"/>
      <c r="F42" s="49"/>
      <c r="G42" s="49"/>
      <c r="H42" s="49"/>
      <c r="I42" s="18"/>
      <c r="L42" s="19"/>
      <c r="N42" s="18"/>
      <c r="Q42" s="19"/>
    </row>
    <row r="43" spans="3:22" outlineLevel="1" x14ac:dyDescent="0.45">
      <c r="C43" s="5" t="s">
        <v>39</v>
      </c>
      <c r="D43" s="17" t="s">
        <v>32</v>
      </c>
      <c r="E43" s="49">
        <v>1389</v>
      </c>
      <c r="F43" s="49">
        <v>1543</v>
      </c>
      <c r="G43" s="49">
        <v>1694</v>
      </c>
      <c r="H43" s="49">
        <v>1688</v>
      </c>
      <c r="I43" s="57">
        <f>I52*I59</f>
        <v>1741.6475999999998</v>
      </c>
      <c r="J43" s="57">
        <f t="shared" ref="J43:R43" si="38">J52*J59</f>
        <v>1823.3051760000001</v>
      </c>
      <c r="K43" s="57">
        <f t="shared" si="38"/>
        <v>1908.2947237200001</v>
      </c>
      <c r="L43" s="57">
        <f t="shared" si="38"/>
        <v>1996.7426696448003</v>
      </c>
      <c r="M43" s="57">
        <f t="shared" si="38"/>
        <v>2088.7800270737403</v>
      </c>
      <c r="N43" s="57">
        <f t="shared" si="38"/>
        <v>2130.5556276152156</v>
      </c>
      <c r="O43" s="57">
        <f t="shared" si="38"/>
        <v>2173.1667401675199</v>
      </c>
      <c r="P43" s="57">
        <f t="shared" si="38"/>
        <v>2216.6300749708703</v>
      </c>
      <c r="Q43" s="57">
        <f t="shared" si="38"/>
        <v>2260.9626764702875</v>
      </c>
      <c r="R43" s="57">
        <f t="shared" si="38"/>
        <v>2306.1819299996932</v>
      </c>
      <c r="U43" s="36">
        <f>(H43/E43)^(1/YEARFRAC(E$22,H$22))-1</f>
        <v>6.7144913932263295E-2</v>
      </c>
      <c r="V43" s="36">
        <f>(R43/H43)^(1/YEARFRAC(H$22,R$22))-1</f>
        <v>3.1696868331826389E-2</v>
      </c>
    </row>
    <row r="44" spans="3:22" outlineLevel="1" x14ac:dyDescent="0.45">
      <c r="C44" s="61" t="s">
        <v>18</v>
      </c>
      <c r="D44" s="17" t="s">
        <v>6</v>
      </c>
      <c r="E44" s="108">
        <v>-2.4578651685393305E-2</v>
      </c>
      <c r="F44" s="36">
        <f>F43/E43-1</f>
        <v>0.11087113030957529</v>
      </c>
      <c r="G44" s="36">
        <f t="shared" ref="G44:H44" si="39">G43/F43-1</f>
        <v>9.7861309138042696E-2</v>
      </c>
      <c r="H44" s="36">
        <f t="shared" si="39"/>
        <v>-3.5419126328217754E-3</v>
      </c>
      <c r="I44" s="36">
        <f t="shared" ref="I44" si="40">I43/H43-1</f>
        <v>3.178175355450219E-2</v>
      </c>
      <c r="J44" s="36">
        <f t="shared" ref="J44" si="41">J43/I43-1</f>
        <v>4.6885245901639561E-2</v>
      </c>
      <c r="K44" s="36">
        <f t="shared" ref="K44" si="42">K43/J43-1</f>
        <v>4.6612903225806468E-2</v>
      </c>
      <c r="L44" s="36">
        <f t="shared" ref="L44" si="43">L43/K43-1</f>
        <v>4.6349206349206584E-2</v>
      </c>
      <c r="M44" s="36">
        <f t="shared" ref="M44" si="44">M43/L43-1</f>
        <v>4.6093750000000044E-2</v>
      </c>
      <c r="N44" s="36">
        <f t="shared" ref="N44" si="45">N43/M43-1</f>
        <v>2.000000000000024E-2</v>
      </c>
      <c r="O44" s="36">
        <f t="shared" ref="O44" si="46">O43/N43-1</f>
        <v>2.0000000000000018E-2</v>
      </c>
      <c r="P44" s="36">
        <f t="shared" ref="P44" si="47">P43/O43-1</f>
        <v>2.0000000000000018E-2</v>
      </c>
      <c r="Q44" s="36">
        <f t="shared" ref="Q44" si="48">Q43/P43-1</f>
        <v>2.0000000000000018E-2</v>
      </c>
      <c r="R44" s="36">
        <f t="shared" ref="R44" si="49">R43/Q43-1</f>
        <v>2.0000000000000018E-2</v>
      </c>
    </row>
    <row r="45" spans="3:22" outlineLevel="1" x14ac:dyDescent="0.45">
      <c r="C45" s="5"/>
      <c r="D45" s="17"/>
      <c r="E45" s="49"/>
      <c r="F45" s="49"/>
      <c r="G45" s="49"/>
      <c r="H45" s="49"/>
      <c r="I45" s="18"/>
      <c r="L45" s="19"/>
      <c r="N45" s="18"/>
      <c r="Q45" s="19"/>
    </row>
    <row r="46" spans="3:22" outlineLevel="1" x14ac:dyDescent="0.45">
      <c r="C46" s="5" t="s">
        <v>47</v>
      </c>
      <c r="D46" s="17" t="s">
        <v>49</v>
      </c>
      <c r="E46" s="58">
        <f t="shared" ref="E46:R46" si="50">E40+E43*Bbl_to_Mcfe</f>
        <v>12637</v>
      </c>
      <c r="F46" s="58">
        <f t="shared" si="50"/>
        <v>13624</v>
      </c>
      <c r="G46" s="58">
        <f t="shared" si="50"/>
        <v>14757</v>
      </c>
      <c r="H46" s="57">
        <f t="shared" si="50"/>
        <v>15354</v>
      </c>
      <c r="I46" s="57">
        <f t="shared" si="50"/>
        <v>15966.060599999997</v>
      </c>
      <c r="J46" s="57">
        <f t="shared" si="50"/>
        <v>16670.846556</v>
      </c>
      <c r="K46" s="57">
        <f t="shared" si="50"/>
        <v>17403.317954819999</v>
      </c>
      <c r="L46" s="57">
        <f t="shared" si="50"/>
        <v>18105.570285868802</v>
      </c>
      <c r="M46" s="57">
        <f t="shared" si="50"/>
        <v>18833.558579002442</v>
      </c>
      <c r="N46" s="57">
        <f t="shared" si="50"/>
        <v>19264.237279867295</v>
      </c>
      <c r="O46" s="57">
        <f t="shared" si="50"/>
        <v>19714.331060606401</v>
      </c>
      <c r="P46" s="57">
        <f t="shared" si="50"/>
        <v>20175.370988014543</v>
      </c>
      <c r="Q46" s="57">
        <f t="shared" si="50"/>
        <v>20647.634313156723</v>
      </c>
      <c r="R46" s="57">
        <f t="shared" si="50"/>
        <v>21131.405581963209</v>
      </c>
      <c r="U46" s="36">
        <f>(H46/E46)^(1/YEARFRAC(E$22,H$22))-1</f>
        <v>6.7069033814854295E-2</v>
      </c>
      <c r="V46" s="36">
        <f>(R46/H46)^(1/YEARFRAC(H$22,R$22))-1</f>
        <v>3.2453937605186889E-2</v>
      </c>
    </row>
    <row r="47" spans="3:22" x14ac:dyDescent="0.45">
      <c r="C47" s="5"/>
      <c r="D47" s="17"/>
      <c r="E47" s="49"/>
      <c r="F47" s="49"/>
      <c r="G47" s="49"/>
      <c r="H47" s="49"/>
      <c r="I47" s="18"/>
      <c r="L47" s="19"/>
      <c r="N47" s="18"/>
      <c r="Q47" s="19"/>
    </row>
    <row r="48" spans="3:22" x14ac:dyDescent="0.45">
      <c r="C48" s="6" t="s">
        <v>38</v>
      </c>
      <c r="D48" s="6"/>
      <c r="E48" s="96">
        <f>$E$22</f>
        <v>44561</v>
      </c>
      <c r="F48" s="96">
        <f>$F$22</f>
        <v>44926</v>
      </c>
      <c r="G48" s="96">
        <f>$G$22</f>
        <v>45291</v>
      </c>
      <c r="H48" s="96">
        <f>$H$22</f>
        <v>45657</v>
      </c>
      <c r="I48" s="96">
        <f>$I$22</f>
        <v>46022</v>
      </c>
      <c r="J48" s="96">
        <f>$J$22</f>
        <v>46387</v>
      </c>
      <c r="K48" s="96">
        <f>$K$22</f>
        <v>46752</v>
      </c>
      <c r="L48" s="96">
        <f>$L$22</f>
        <v>47118</v>
      </c>
      <c r="M48" s="96">
        <f>$M$22</f>
        <v>47483</v>
      </c>
      <c r="N48" s="96">
        <f>$N$22</f>
        <v>47848</v>
      </c>
      <c r="O48" s="96">
        <f>$O$22</f>
        <v>48213</v>
      </c>
      <c r="P48" s="96">
        <f>$P$22</f>
        <v>48579</v>
      </c>
      <c r="Q48" s="96">
        <f>$Q$22</f>
        <v>48944</v>
      </c>
      <c r="R48" s="96">
        <f>$R$22</f>
        <v>49309</v>
      </c>
    </row>
    <row r="49" spans="3:31" outlineLevel="1" x14ac:dyDescent="0.45">
      <c r="C49" s="5" t="s">
        <v>33</v>
      </c>
      <c r="D49" s="17" t="s">
        <v>34</v>
      </c>
      <c r="E49" s="49">
        <v>4995</v>
      </c>
      <c r="F49" s="49">
        <v>5060</v>
      </c>
      <c r="G49" s="49">
        <v>5200</v>
      </c>
      <c r="H49" s="49">
        <v>5530</v>
      </c>
      <c r="I49" s="57">
        <f>H49*(1+I50)</f>
        <v>5806.5</v>
      </c>
      <c r="J49" s="57">
        <f t="shared" ref="J49:R49" si="51">I49*(1+J50)</f>
        <v>6096.8249999999998</v>
      </c>
      <c r="K49" s="57">
        <f t="shared" si="51"/>
        <v>6401.6662500000002</v>
      </c>
      <c r="L49" s="57">
        <f t="shared" si="51"/>
        <v>6657.7329000000009</v>
      </c>
      <c r="M49" s="57">
        <f t="shared" si="51"/>
        <v>6924.0422160000007</v>
      </c>
      <c r="N49" s="57">
        <f t="shared" si="51"/>
        <v>7201.0039046400007</v>
      </c>
      <c r="O49" s="57">
        <f t="shared" si="51"/>
        <v>7417.0340217792009</v>
      </c>
      <c r="P49" s="57">
        <f t="shared" si="51"/>
        <v>7639.5450424325772</v>
      </c>
      <c r="Q49" s="57">
        <f t="shared" si="51"/>
        <v>7868.7313937055551</v>
      </c>
      <c r="R49" s="57">
        <f t="shared" si="51"/>
        <v>8104.7933355167215</v>
      </c>
      <c r="U49" s="36">
        <f>(H49/E49)^(1/YEARFRAC(E$22,H$22))-1</f>
        <v>3.449853405362191E-2</v>
      </c>
      <c r="V49" s="36">
        <f>(R49/H49)^(1/YEARFRAC(H$22,R$22))-1</f>
        <v>3.8966827312990837E-2</v>
      </c>
    </row>
    <row r="50" spans="3:31" outlineLevel="1" x14ac:dyDescent="0.45">
      <c r="C50" s="27" t="s">
        <v>18</v>
      </c>
      <c r="D50" s="17" t="s">
        <v>6</v>
      </c>
      <c r="E50" s="59">
        <v>-0.10323159784560143</v>
      </c>
      <c r="F50" s="30">
        <f>F49/E49-1</f>
        <v>1.3013013013013053E-2</v>
      </c>
      <c r="G50" s="30">
        <f t="shared" ref="G50:H50" si="52">G49/F49-1</f>
        <v>2.7667984189723382E-2</v>
      </c>
      <c r="H50" s="30">
        <f t="shared" si="52"/>
        <v>6.3461538461538458E-2</v>
      </c>
      <c r="I50" s="33">
        <v>0.05</v>
      </c>
      <c r="J50" s="33">
        <v>0.05</v>
      </c>
      <c r="K50" s="33">
        <v>0.05</v>
      </c>
      <c r="L50" s="33">
        <v>0.04</v>
      </c>
      <c r="M50" s="33">
        <v>0.04</v>
      </c>
      <c r="N50" s="33">
        <v>0.04</v>
      </c>
      <c r="O50" s="33">
        <v>0.03</v>
      </c>
      <c r="P50" s="33">
        <v>0.03</v>
      </c>
      <c r="Q50" s="33">
        <v>0.03</v>
      </c>
      <c r="R50" s="33">
        <v>0.03</v>
      </c>
    </row>
    <row r="51" spans="3:31" outlineLevel="1" x14ac:dyDescent="0.45">
      <c r="C51" s="5"/>
      <c r="D51" s="17"/>
      <c r="E51" s="49"/>
      <c r="F51" s="49"/>
      <c r="G51" s="49"/>
      <c r="H51" s="49"/>
      <c r="I51" s="18"/>
      <c r="L51" s="19"/>
      <c r="N51" s="18"/>
      <c r="Q51" s="19"/>
    </row>
    <row r="52" spans="3:31" outlineLevel="1" x14ac:dyDescent="0.45">
      <c r="C52" s="5" t="s">
        <v>39</v>
      </c>
      <c r="D52" s="17" t="s">
        <v>32</v>
      </c>
      <c r="E52" s="49">
        <v>2114</v>
      </c>
      <c r="F52" s="49">
        <v>2209</v>
      </c>
      <c r="G52" s="49">
        <v>2669</v>
      </c>
      <c r="H52" s="49">
        <v>2772</v>
      </c>
      <c r="I52" s="57">
        <f>H52*(1+I53)</f>
        <v>2855.16</v>
      </c>
      <c r="J52" s="57">
        <f t="shared" ref="J52" si="53">I52*(1+J53)</f>
        <v>2940.8148000000001</v>
      </c>
      <c r="K52" s="57">
        <f t="shared" ref="K52" si="54">J52*(1+K53)</f>
        <v>3029.0392440000001</v>
      </c>
      <c r="L52" s="57">
        <f t="shared" ref="L52" si="55">K52*(1+L53)</f>
        <v>3119.9104213200003</v>
      </c>
      <c r="M52" s="57">
        <f t="shared" ref="M52" si="56">L52*(1+M53)</f>
        <v>3213.5077339596005</v>
      </c>
      <c r="N52" s="57">
        <f t="shared" ref="N52" si="57">M52*(1+N53)</f>
        <v>3277.7778886387928</v>
      </c>
      <c r="O52" s="57">
        <f t="shared" ref="O52" si="58">N52*(1+O53)</f>
        <v>3343.3334464115687</v>
      </c>
      <c r="P52" s="57">
        <f t="shared" ref="P52" si="59">O52*(1+P53)</f>
        <v>3410.2001153398</v>
      </c>
      <c r="Q52" s="57">
        <f t="shared" ref="Q52" si="60">P52*(1+Q53)</f>
        <v>3478.4041176465962</v>
      </c>
      <c r="R52" s="57">
        <f t="shared" ref="R52" si="61">Q52*(1+R53)</f>
        <v>3547.9721999995281</v>
      </c>
      <c r="U52" s="36">
        <f>(H52/E52)^(1/YEARFRAC(E$22,H$22))-1</f>
        <v>9.4534397004268689E-2</v>
      </c>
      <c r="V52" s="36">
        <f>(R52/H52)^(1/YEARFRAC(H$22,R$22))-1</f>
        <v>2.4987804805501002E-2</v>
      </c>
    </row>
    <row r="53" spans="3:31" outlineLevel="1" x14ac:dyDescent="0.45">
      <c r="C53" s="27" t="s">
        <v>18</v>
      </c>
      <c r="D53" s="17" t="s">
        <v>6</v>
      </c>
      <c r="E53" s="59">
        <v>0.19165727170236746</v>
      </c>
      <c r="F53" s="30">
        <f>F52/E52-1</f>
        <v>4.4938505203405921E-2</v>
      </c>
      <c r="G53" s="30">
        <f t="shared" ref="G53" si="62">G52/F52-1</f>
        <v>0.20823902218198276</v>
      </c>
      <c r="H53" s="30">
        <f t="shared" ref="H53" si="63">H52/G52-1</f>
        <v>3.8591232671412623E-2</v>
      </c>
      <c r="I53" s="33">
        <v>0.03</v>
      </c>
      <c r="J53" s="33">
        <v>0.03</v>
      </c>
      <c r="K53" s="33">
        <v>0.03</v>
      </c>
      <c r="L53" s="33">
        <v>0.03</v>
      </c>
      <c r="M53" s="33">
        <v>0.03</v>
      </c>
      <c r="N53" s="33">
        <v>0.02</v>
      </c>
      <c r="O53" s="33">
        <v>0.02</v>
      </c>
      <c r="P53" s="33">
        <v>0.02</v>
      </c>
      <c r="Q53" s="33">
        <v>0.02</v>
      </c>
      <c r="R53" s="33">
        <v>0.02</v>
      </c>
    </row>
    <row r="54" spans="3:31" outlineLevel="1" x14ac:dyDescent="0.45">
      <c r="C54" s="5"/>
      <c r="D54" s="17"/>
      <c r="E54" s="57"/>
      <c r="F54" s="49"/>
      <c r="G54" s="49"/>
      <c r="H54" s="49"/>
      <c r="I54" s="18"/>
      <c r="L54" s="19"/>
      <c r="N54" s="18"/>
      <c r="Q54" s="19"/>
    </row>
    <row r="55" spans="3:31" outlineLevel="1" x14ac:dyDescent="0.45">
      <c r="C55" s="5" t="s">
        <v>48</v>
      </c>
      <c r="D55" s="17" t="s">
        <v>49</v>
      </c>
      <c r="E55" s="58">
        <f t="shared" ref="E55:R55" si="64">E49+E52*Bbl_to_Mcfe</f>
        <v>17679</v>
      </c>
      <c r="F55" s="58">
        <f t="shared" si="64"/>
        <v>18314</v>
      </c>
      <c r="G55" s="58">
        <f t="shared" si="64"/>
        <v>21214</v>
      </c>
      <c r="H55" s="58">
        <f t="shared" si="64"/>
        <v>22162</v>
      </c>
      <c r="I55" s="58">
        <f t="shared" si="64"/>
        <v>22937.46</v>
      </c>
      <c r="J55" s="58">
        <f t="shared" si="64"/>
        <v>23741.713800000001</v>
      </c>
      <c r="K55" s="58">
        <f t="shared" si="64"/>
        <v>24575.901714</v>
      </c>
      <c r="L55" s="58">
        <f t="shared" si="64"/>
        <v>25377.19542792</v>
      </c>
      <c r="M55" s="58">
        <f t="shared" si="64"/>
        <v>26205.088619757604</v>
      </c>
      <c r="N55" s="58">
        <f t="shared" si="64"/>
        <v>26867.671236472757</v>
      </c>
      <c r="O55" s="58">
        <f t="shared" si="64"/>
        <v>27477.034700248612</v>
      </c>
      <c r="P55" s="58">
        <f t="shared" si="64"/>
        <v>28100.745734471377</v>
      </c>
      <c r="Q55" s="58">
        <f t="shared" si="64"/>
        <v>28739.156099585132</v>
      </c>
      <c r="R55" s="58">
        <f t="shared" si="64"/>
        <v>29392.626535513893</v>
      </c>
    </row>
    <row r="56" spans="3:31" outlineLevel="1" x14ac:dyDescent="0.45">
      <c r="C56" s="5" t="s">
        <v>66</v>
      </c>
      <c r="D56" s="17" t="s">
        <v>67</v>
      </c>
      <c r="E56" s="58">
        <f t="shared" ref="E56:R56" si="65">E55*(E22-EOMONTH(E22,-12))/Units</f>
        <v>6452.835</v>
      </c>
      <c r="F56" s="58">
        <f t="shared" si="65"/>
        <v>6684.61</v>
      </c>
      <c r="G56" s="58">
        <f t="shared" si="65"/>
        <v>7743.11</v>
      </c>
      <c r="H56" s="58">
        <f t="shared" si="65"/>
        <v>8111.2920000000004</v>
      </c>
      <c r="I56" s="58">
        <f t="shared" si="65"/>
        <v>8372.1728999999996</v>
      </c>
      <c r="J56" s="58">
        <f t="shared" si="65"/>
        <v>8665.7255370000003</v>
      </c>
      <c r="K56" s="58">
        <f t="shared" si="65"/>
        <v>8970.2041256100001</v>
      </c>
      <c r="L56" s="58">
        <f t="shared" si="65"/>
        <v>9288.0535266187198</v>
      </c>
      <c r="M56" s="58">
        <f t="shared" si="65"/>
        <v>9564.8573462115255</v>
      </c>
      <c r="N56" s="58">
        <f t="shared" si="65"/>
        <v>9806.7000013125562</v>
      </c>
      <c r="O56" s="58">
        <f t="shared" si="65"/>
        <v>10029.117665590742</v>
      </c>
      <c r="P56" s="58">
        <f t="shared" si="65"/>
        <v>10284.872938816523</v>
      </c>
      <c r="Q56" s="58">
        <f t="shared" si="65"/>
        <v>10489.791976348573</v>
      </c>
      <c r="R56" s="58">
        <f t="shared" si="65"/>
        <v>10728.308685462571</v>
      </c>
      <c r="AE56" s="40"/>
    </row>
    <row r="57" spans="3:31" outlineLevel="1" x14ac:dyDescent="0.45">
      <c r="I57" s="18"/>
      <c r="L57" s="19"/>
      <c r="N57" s="18"/>
      <c r="Q57" s="19"/>
      <c r="AE57" s="40"/>
    </row>
    <row r="58" spans="3:31" outlineLevel="1" x14ac:dyDescent="0.45">
      <c r="C58" s="5" t="s">
        <v>41</v>
      </c>
      <c r="D58" s="17" t="s">
        <v>6</v>
      </c>
      <c r="E58" s="30">
        <f>E40/E49</f>
        <v>0.86146146146146141</v>
      </c>
      <c r="F58" s="30">
        <f t="shared" ref="F58:H58" si="66">F40/F49</f>
        <v>0.86284584980237156</v>
      </c>
      <c r="G58" s="30">
        <f t="shared" si="66"/>
        <v>0.88326923076923081</v>
      </c>
      <c r="H58" s="30">
        <f t="shared" si="66"/>
        <v>0.94502712477396023</v>
      </c>
      <c r="I58" s="33">
        <v>0.95</v>
      </c>
      <c r="J58" s="33">
        <v>0.94</v>
      </c>
      <c r="K58" s="33">
        <v>0.93</v>
      </c>
      <c r="L58" s="33">
        <v>0.92</v>
      </c>
      <c r="M58" s="33">
        <v>0.91</v>
      </c>
      <c r="N58" s="33">
        <v>0.9</v>
      </c>
      <c r="O58" s="33">
        <v>0.9</v>
      </c>
      <c r="P58" s="33">
        <v>0.9</v>
      </c>
      <c r="Q58" s="33">
        <v>0.9</v>
      </c>
      <c r="R58" s="33">
        <v>0.9</v>
      </c>
      <c r="AE58" s="40"/>
    </row>
    <row r="59" spans="3:31" outlineLevel="1" x14ac:dyDescent="0.45">
      <c r="C59" s="5" t="s">
        <v>42</v>
      </c>
      <c r="D59" s="17" t="s">
        <v>6</v>
      </c>
      <c r="E59" s="30">
        <f>E43/E52</f>
        <v>0.65704824976348153</v>
      </c>
      <c r="F59" s="30">
        <f t="shared" ref="F59:H59" si="67">F43/F52</f>
        <v>0.69850611136260754</v>
      </c>
      <c r="G59" s="30">
        <f t="shared" si="67"/>
        <v>0.63469464218808547</v>
      </c>
      <c r="H59" s="30">
        <f t="shared" si="67"/>
        <v>0.6089466089466089</v>
      </c>
      <c r="I59" s="33">
        <v>0.61</v>
      </c>
      <c r="J59" s="33">
        <v>0.62</v>
      </c>
      <c r="K59" s="33">
        <v>0.63</v>
      </c>
      <c r="L59" s="33">
        <v>0.64</v>
      </c>
      <c r="M59" s="33">
        <v>0.65</v>
      </c>
      <c r="N59" s="33">
        <v>0.65</v>
      </c>
      <c r="O59" s="33">
        <v>0.65</v>
      </c>
      <c r="P59" s="33">
        <v>0.65</v>
      </c>
      <c r="Q59" s="33">
        <v>0.65</v>
      </c>
      <c r="R59" s="33">
        <v>0.65</v>
      </c>
      <c r="AE59" s="40"/>
    </row>
    <row r="60" spans="3:31" x14ac:dyDescent="0.45">
      <c r="H60" s="30"/>
      <c r="I60" s="18"/>
      <c r="L60" s="19"/>
      <c r="N60" s="18"/>
      <c r="Q60" s="19"/>
      <c r="AE60" s="40"/>
    </row>
    <row r="61" spans="3:31" x14ac:dyDescent="0.45">
      <c r="C61" s="6" t="s">
        <v>19</v>
      </c>
      <c r="D61" s="37"/>
      <c r="E61" s="96">
        <f>$E$22</f>
        <v>44561</v>
      </c>
      <c r="F61" s="96">
        <f>$F$22</f>
        <v>44926</v>
      </c>
      <c r="G61" s="96">
        <f>$G$22</f>
        <v>45291</v>
      </c>
      <c r="H61" s="96">
        <f>$H$22</f>
        <v>45657</v>
      </c>
      <c r="I61" s="96">
        <f>$I$22</f>
        <v>46022</v>
      </c>
      <c r="J61" s="96">
        <f>$J$22</f>
        <v>46387</v>
      </c>
      <c r="K61" s="96">
        <f>$K$22</f>
        <v>46752</v>
      </c>
      <c r="L61" s="96">
        <f>$L$22</f>
        <v>47118</v>
      </c>
      <c r="M61" s="96">
        <f>$M$22</f>
        <v>47483</v>
      </c>
      <c r="N61" s="96">
        <f>$N$22</f>
        <v>47848</v>
      </c>
      <c r="O61" s="96">
        <f>$O$22</f>
        <v>48213</v>
      </c>
      <c r="P61" s="96">
        <f>$P$22</f>
        <v>48579</v>
      </c>
      <c r="Q61" s="96">
        <f>$Q$22</f>
        <v>48944</v>
      </c>
      <c r="R61" s="96">
        <f>$R$22</f>
        <v>49309</v>
      </c>
      <c r="AD61" s="292"/>
      <c r="AE61" s="40"/>
    </row>
    <row r="62" spans="3:31" outlineLevel="1" x14ac:dyDescent="0.45">
      <c r="C62" s="5" t="s">
        <v>20</v>
      </c>
      <c r="D62" s="17" t="s">
        <v>24</v>
      </c>
      <c r="E62" s="4">
        <f>-E185*Maint_CapEx_Pct</f>
        <v>104.55799999999999</v>
      </c>
      <c r="F62" s="4">
        <f>-F185*Maint_CapEx_Pct</f>
        <v>162.40933333333334</v>
      </c>
      <c r="G62" s="4">
        <f>-G185*Maint_CapEx_Pct</f>
        <v>245.02666666666667</v>
      </c>
      <c r="H62" s="4">
        <f>-H185*Maint_CapEx_Pct</f>
        <v>277.952</v>
      </c>
      <c r="I62" s="4">
        <f>I63*H56</f>
        <v>305.72693990957123</v>
      </c>
      <c r="J62" s="4">
        <f t="shared" ref="J62:R62" si="68">J63*I56</f>
        <v>331.33793496355236</v>
      </c>
      <c r="K62" s="4">
        <f t="shared" si="68"/>
        <v>360.10338303094846</v>
      </c>
      <c r="L62" s="4">
        <f t="shared" si="68"/>
        <v>387.6661996564622</v>
      </c>
      <c r="M62" s="4">
        <f t="shared" si="68"/>
        <v>417.45883783109946</v>
      </c>
      <c r="N62" s="4">
        <f t="shared" si="68"/>
        <v>447.09600231516572</v>
      </c>
      <c r="O62" s="4">
        <f t="shared" si="68"/>
        <v>472.1526201616004</v>
      </c>
      <c r="P62" s="4">
        <f t="shared" si="68"/>
        <v>497.34695754702358</v>
      </c>
      <c r="Q62" s="4">
        <f t="shared" si="68"/>
        <v>525.3308365202156</v>
      </c>
      <c r="R62" s="4">
        <f t="shared" si="68"/>
        <v>551.87162383428699</v>
      </c>
      <c r="U62" s="36">
        <f>(H62/E62)^(1/YEARFRAC(E$22,H$22))-1</f>
        <v>0.38527983364562246</v>
      </c>
      <c r="V62" s="36">
        <f>(R62/H62)^(1/YEARFRAC(H$22,R$22))-1</f>
        <v>7.0993477859425003E-2</v>
      </c>
      <c r="AC62" s="292"/>
      <c r="AD62" s="292"/>
      <c r="AE62" s="40"/>
    </row>
    <row r="63" spans="3:31" outlineLevel="1" x14ac:dyDescent="0.45">
      <c r="C63" s="5" t="s">
        <v>29</v>
      </c>
      <c r="D63" s="83" t="s">
        <v>68</v>
      </c>
      <c r="E63" s="95">
        <v>1.7667464781830684E-2</v>
      </c>
      <c r="F63" s="63">
        <f>F62/E56</f>
        <v>2.5168679089630115E-2</v>
      </c>
      <c r="G63" s="63">
        <f t="shared" ref="G63:H63" si="69">G62/F56</f>
        <v>3.6655342146612396E-2</v>
      </c>
      <c r="H63" s="63">
        <f t="shared" si="69"/>
        <v>3.5896687506699505E-2</v>
      </c>
      <c r="I63" s="291">
        <f>H63*(1+I64)</f>
        <v>3.7691521882034479E-2</v>
      </c>
      <c r="J63" s="291">
        <f t="shared" ref="J63:R63" si="70">I63*(1+J64)</f>
        <v>3.9576097976136204E-2</v>
      </c>
      <c r="K63" s="291">
        <f t="shared" si="70"/>
        <v>4.1554902874943019E-2</v>
      </c>
      <c r="L63" s="291">
        <f t="shared" si="70"/>
        <v>4.3217098989940743E-2</v>
      </c>
      <c r="M63" s="291">
        <f t="shared" si="70"/>
        <v>4.4945782949538375E-2</v>
      </c>
      <c r="N63" s="291">
        <f t="shared" si="70"/>
        <v>4.6743614267519912E-2</v>
      </c>
      <c r="O63" s="291">
        <f t="shared" si="70"/>
        <v>4.8145922695545511E-2</v>
      </c>
      <c r="P63" s="291">
        <f t="shared" si="70"/>
        <v>4.9590300376411878E-2</v>
      </c>
      <c r="Q63" s="291">
        <f t="shared" si="70"/>
        <v>5.1078009387704237E-2</v>
      </c>
      <c r="R63" s="291">
        <f t="shared" si="70"/>
        <v>5.2610349669335366E-2</v>
      </c>
      <c r="AC63" s="292"/>
      <c r="AD63" s="292"/>
      <c r="AE63" s="40"/>
    </row>
    <row r="64" spans="3:31" outlineLevel="1" x14ac:dyDescent="0.45">
      <c r="C64" s="27" t="s">
        <v>112</v>
      </c>
      <c r="D64" s="17" t="s">
        <v>6</v>
      </c>
      <c r="F64" s="30">
        <f>F63/E63-1</f>
        <v>0.42457785542121007</v>
      </c>
      <c r="G64" s="30">
        <f t="shared" ref="G64:H64" si="71">G63/F63-1</f>
        <v>0.45638720316136738</v>
      </c>
      <c r="H64" s="30">
        <f t="shared" si="71"/>
        <v>-2.0696973360075588E-2</v>
      </c>
      <c r="I64" s="33">
        <v>0.05</v>
      </c>
      <c r="J64" s="33">
        <v>0.05</v>
      </c>
      <c r="K64" s="33">
        <v>0.05</v>
      </c>
      <c r="L64" s="33">
        <v>0.04</v>
      </c>
      <c r="M64" s="33">
        <v>0.04</v>
      </c>
      <c r="N64" s="33">
        <v>0.04</v>
      </c>
      <c r="O64" s="33">
        <v>0.03</v>
      </c>
      <c r="P64" s="33">
        <v>0.03</v>
      </c>
      <c r="Q64" s="33">
        <v>0.03</v>
      </c>
      <c r="R64" s="33">
        <v>0.03</v>
      </c>
      <c r="T64" s="1"/>
      <c r="AC64" s="292"/>
      <c r="AD64" s="292"/>
      <c r="AE64" s="40"/>
    </row>
    <row r="65" spans="3:31" outlineLevel="1" x14ac:dyDescent="0.45">
      <c r="D65" s="1"/>
      <c r="H65" s="21"/>
      <c r="I65" s="62"/>
      <c r="J65" s="62"/>
      <c r="K65" s="62"/>
      <c r="L65" s="62"/>
      <c r="M65" s="62"/>
      <c r="N65" s="62"/>
      <c r="O65" s="62"/>
      <c r="P65" s="62"/>
      <c r="Q65" s="62"/>
      <c r="R65" s="62"/>
      <c r="T65" s="1"/>
      <c r="AC65" s="292"/>
      <c r="AD65" s="292"/>
      <c r="AE65" s="40"/>
    </row>
    <row r="66" spans="3:31" outlineLevel="1" x14ac:dyDescent="0.45">
      <c r="C66" s="5" t="s">
        <v>21</v>
      </c>
      <c r="D66" s="17" t="s">
        <v>24</v>
      </c>
      <c r="E66" s="4">
        <f>-E185*(1-Maint_CapEx_Pct)</f>
        <v>209.11600000000001</v>
      </c>
      <c r="F66" s="4">
        <f>-F185*(1-Maint_CapEx_Pct)</f>
        <v>324.81866666666673</v>
      </c>
      <c r="G66" s="4">
        <f>-G185*(1-Maint_CapEx_Pct)</f>
        <v>490.0533333333334</v>
      </c>
      <c r="H66" s="4">
        <f>-H185*(1-Maint_CapEx_Pct)</f>
        <v>555.90400000000011</v>
      </c>
      <c r="I66" s="4">
        <f>I68*I69</f>
        <v>452.97827218234244</v>
      </c>
      <c r="J66" s="4">
        <f t="shared" ref="J66:R66" si="72">J68*J69</f>
        <v>575.96953982525781</v>
      </c>
      <c r="K66" s="4">
        <f t="shared" si="72"/>
        <v>663.12174109634452</v>
      </c>
      <c r="L66" s="4">
        <f t="shared" si="72"/>
        <v>761.46613159928154</v>
      </c>
      <c r="M66" s="4">
        <f t="shared" si="72"/>
        <v>722.81602237623201</v>
      </c>
      <c r="N66" s="4">
        <f t="shared" si="72"/>
        <v>682.04393262651183</v>
      </c>
      <c r="O66" s="4">
        <f t="shared" si="72"/>
        <v>671.16994581531185</v>
      </c>
      <c r="P66" s="4">
        <f t="shared" si="72"/>
        <v>818.07606709566971</v>
      </c>
      <c r="Q66" s="4">
        <f t="shared" si="72"/>
        <v>688.24124754886486</v>
      </c>
      <c r="R66" s="4">
        <f t="shared" si="72"/>
        <v>841.13653562813499</v>
      </c>
      <c r="T66" s="1"/>
      <c r="U66" s="36">
        <f>(H66/E66)^(1/YEARFRAC(E$22,H$22))-1</f>
        <v>0.38527983364562246</v>
      </c>
      <c r="V66" s="36">
        <f>(R66/H66)^(1/YEARFRAC(H$22,R$22))-1</f>
        <v>4.2285437173033458E-2</v>
      </c>
      <c r="AC66" s="292"/>
      <c r="AD66" s="292"/>
      <c r="AE66" s="40"/>
    </row>
    <row r="67" spans="3:31" outlineLevel="1" x14ac:dyDescent="0.45">
      <c r="D67" s="1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T67" s="1"/>
      <c r="AC67" s="292"/>
      <c r="AD67" s="292"/>
      <c r="AE67" s="40"/>
    </row>
    <row r="68" spans="3:31" outlineLevel="1" x14ac:dyDescent="0.45">
      <c r="C68" s="5" t="s">
        <v>22</v>
      </c>
      <c r="D68" s="17" t="s">
        <v>67</v>
      </c>
      <c r="E68" s="49">
        <v>534.72500000000002</v>
      </c>
      <c r="F68" s="58">
        <f>F56-E56</f>
        <v>231.77499999999964</v>
      </c>
      <c r="G68" s="58">
        <f t="shared" ref="G68:R68" si="73">G56-F56</f>
        <v>1058.5</v>
      </c>
      <c r="H68" s="58">
        <f t="shared" si="73"/>
        <v>368.1820000000007</v>
      </c>
      <c r="I68" s="58">
        <f t="shared" si="73"/>
        <v>260.8808999999992</v>
      </c>
      <c r="J68" s="58">
        <f t="shared" si="73"/>
        <v>293.55263700000069</v>
      </c>
      <c r="K68" s="58">
        <f t="shared" si="73"/>
        <v>304.47858860999986</v>
      </c>
      <c r="L68" s="58">
        <f t="shared" si="73"/>
        <v>317.84940100871972</v>
      </c>
      <c r="M68" s="58">
        <f t="shared" si="73"/>
        <v>276.80381959280567</v>
      </c>
      <c r="N68" s="58">
        <f t="shared" si="73"/>
        <v>241.84265510103069</v>
      </c>
      <c r="O68" s="58">
        <f t="shared" si="73"/>
        <v>222.41766427818584</v>
      </c>
      <c r="P68" s="58">
        <f t="shared" si="73"/>
        <v>255.75527322578091</v>
      </c>
      <c r="Q68" s="58">
        <f t="shared" si="73"/>
        <v>204.91903753205042</v>
      </c>
      <c r="R68" s="58">
        <f t="shared" si="73"/>
        <v>238.51670911399742</v>
      </c>
      <c r="T68" s="1"/>
      <c r="AC68" s="292"/>
      <c r="AD68" s="292"/>
      <c r="AE68" s="40"/>
    </row>
    <row r="69" spans="3:31" outlineLevel="1" x14ac:dyDescent="0.45">
      <c r="C69" s="5" t="s">
        <v>198</v>
      </c>
      <c r="D69" s="83" t="s">
        <v>68</v>
      </c>
      <c r="E69" s="51">
        <f>E66/E68</f>
        <v>0.39107204637897985</v>
      </c>
      <c r="F69" s="51">
        <f t="shared" ref="F69" si="74">F66/F68</f>
        <v>1.4014396145687293</v>
      </c>
      <c r="G69" s="51">
        <f t="shared" ref="G69" si="75">G66/G68</f>
        <v>0.46296961108486856</v>
      </c>
      <c r="H69" s="51">
        <f t="shared" ref="H69" si="76">H66/H68</f>
        <v>1.5098619704385305</v>
      </c>
      <c r="I69" s="290">
        <f>H69*(1+I70)</f>
        <v>1.73634126600431</v>
      </c>
      <c r="J69" s="290">
        <f t="shared" ref="J69" si="77">I69*(1+J70)</f>
        <v>1.9620656305848703</v>
      </c>
      <c r="K69" s="290">
        <f t="shared" ref="K69" si="78">J69*(1+K70)</f>
        <v>2.1778928499492061</v>
      </c>
      <c r="L69" s="290">
        <f t="shared" ref="L69" si="79">K69*(1+L70)</f>
        <v>2.3956821349441269</v>
      </c>
      <c r="M69" s="290">
        <f t="shared" ref="M69" si="80">L69*(1+M70)</f>
        <v>2.6112935270890985</v>
      </c>
      <c r="N69" s="290">
        <f t="shared" ref="N69" si="81">M69*(1+N70)</f>
        <v>2.8201970092562263</v>
      </c>
      <c r="O69" s="290">
        <f t="shared" ref="O69" si="82">N69*(1+O70)</f>
        <v>3.0176107999041624</v>
      </c>
      <c r="P69" s="290">
        <f t="shared" ref="P69" si="83">O69*(1+P70)</f>
        <v>3.1986674478984121</v>
      </c>
      <c r="Q69" s="290">
        <f t="shared" ref="Q69" si="84">P69*(1+Q70)</f>
        <v>3.3586008202933328</v>
      </c>
      <c r="R69" s="290">
        <f t="shared" ref="R69" si="85">Q69*(1+R70)</f>
        <v>3.5265308613079998</v>
      </c>
      <c r="T69" s="1"/>
      <c r="AC69" s="292"/>
      <c r="AD69" s="292"/>
      <c r="AE69" s="40"/>
    </row>
    <row r="70" spans="3:31" outlineLevel="1" x14ac:dyDescent="0.45">
      <c r="C70" s="27" t="s">
        <v>112</v>
      </c>
      <c r="D70" s="17" t="s">
        <v>6</v>
      </c>
      <c r="F70" s="30">
        <f>F69/E69-1</f>
        <v>2.5835842207208621</v>
      </c>
      <c r="G70" s="30">
        <f t="shared" ref="G70:H70" si="86">G69/F69-1</f>
        <v>-0.66964712123729986</v>
      </c>
      <c r="H70" s="30">
        <f t="shared" si="86"/>
        <v>2.2612550247099317</v>
      </c>
      <c r="I70" s="33">
        <v>0.15</v>
      </c>
      <c r="J70" s="33">
        <v>0.13</v>
      </c>
      <c r="K70" s="33">
        <v>0.11</v>
      </c>
      <c r="L70" s="33">
        <v>0.1</v>
      </c>
      <c r="M70" s="33">
        <v>0.09</v>
      </c>
      <c r="N70" s="33">
        <v>0.08</v>
      </c>
      <c r="O70" s="33">
        <v>7.0000000000000007E-2</v>
      </c>
      <c r="P70" s="33">
        <v>0.06</v>
      </c>
      <c r="Q70" s="33">
        <v>0.05</v>
      </c>
      <c r="R70" s="33">
        <v>0.05</v>
      </c>
      <c r="T70" s="1"/>
      <c r="AC70" s="292"/>
      <c r="AD70" s="292"/>
      <c r="AE70" s="40"/>
    </row>
    <row r="71" spans="3:31" x14ac:dyDescent="0.45">
      <c r="G71" s="294"/>
      <c r="H71" s="294"/>
      <c r="I71" s="43"/>
      <c r="L71" s="19"/>
      <c r="N71" s="18"/>
      <c r="Q71" s="19"/>
      <c r="T71" s="1"/>
      <c r="AC71" s="292"/>
      <c r="AD71" s="292"/>
      <c r="AE71" s="40"/>
    </row>
    <row r="72" spans="3:31" x14ac:dyDescent="0.45">
      <c r="C72" s="6" t="s">
        <v>221</v>
      </c>
      <c r="D72" s="37"/>
      <c r="E72" s="96">
        <f>$E$22</f>
        <v>44561</v>
      </c>
      <c r="F72" s="96">
        <f>$F$22</f>
        <v>44926</v>
      </c>
      <c r="G72" s="96">
        <f>$G$22</f>
        <v>45291</v>
      </c>
      <c r="H72" s="96">
        <f>$H$22</f>
        <v>45657</v>
      </c>
      <c r="I72" s="96">
        <f>$I$22</f>
        <v>46022</v>
      </c>
      <c r="J72" s="96">
        <f>$J$22</f>
        <v>46387</v>
      </c>
      <c r="K72" s="96">
        <f>$K$22</f>
        <v>46752</v>
      </c>
      <c r="L72" s="96">
        <f>$L$22</f>
        <v>47118</v>
      </c>
      <c r="M72" s="96">
        <f>$M$22</f>
        <v>47483</v>
      </c>
      <c r="N72" s="96">
        <f>$N$22</f>
        <v>47848</v>
      </c>
      <c r="O72" s="96">
        <f>$O$22</f>
        <v>48213</v>
      </c>
      <c r="P72" s="96">
        <f>$P$22</f>
        <v>48579</v>
      </c>
      <c r="Q72" s="96">
        <f>$Q$22</f>
        <v>48944</v>
      </c>
      <c r="R72" s="96">
        <f>$R$22</f>
        <v>49309</v>
      </c>
      <c r="AD72" s="292"/>
      <c r="AE72" s="40"/>
    </row>
    <row r="73" spans="3:31" outlineLevel="1" x14ac:dyDescent="0.45">
      <c r="C73" s="5" t="s">
        <v>59</v>
      </c>
      <c r="D73" s="17" t="s">
        <v>6</v>
      </c>
      <c r="E73" s="30">
        <f>E35/E34</f>
        <v>0.15046737987755873</v>
      </c>
      <c r="F73" s="30">
        <f t="shared" ref="F73:H73" si="87">F35/F34</f>
        <v>0.1767509605838796</v>
      </c>
      <c r="G73" s="30">
        <f t="shared" si="87"/>
        <v>5.9041211101766133E-2</v>
      </c>
      <c r="H73" s="30">
        <f t="shared" si="87"/>
        <v>5.107848846205703E-2</v>
      </c>
      <c r="I73" s="33">
        <v>0.05</v>
      </c>
      <c r="J73" s="32">
        <f>I73</f>
        <v>0.05</v>
      </c>
      <c r="K73" s="32">
        <f t="shared" ref="K73:R73" si="88">J73</f>
        <v>0.05</v>
      </c>
      <c r="L73" s="32">
        <f t="shared" si="88"/>
        <v>0.05</v>
      </c>
      <c r="M73" s="32">
        <f t="shared" si="88"/>
        <v>0.05</v>
      </c>
      <c r="N73" s="32">
        <f t="shared" si="88"/>
        <v>0.05</v>
      </c>
      <c r="O73" s="32">
        <f t="shared" si="88"/>
        <v>0.05</v>
      </c>
      <c r="P73" s="32">
        <f t="shared" si="88"/>
        <v>0.05</v>
      </c>
      <c r="Q73" s="32">
        <f t="shared" si="88"/>
        <v>0.05</v>
      </c>
      <c r="R73" s="32">
        <f t="shared" si="88"/>
        <v>0.05</v>
      </c>
      <c r="AC73" s="292"/>
      <c r="AD73" s="292"/>
      <c r="AE73" s="40"/>
    </row>
    <row r="74" spans="3:31" outlineLevel="1" x14ac:dyDescent="0.45">
      <c r="C74" s="2"/>
      <c r="I74" s="18"/>
      <c r="L74" s="19"/>
      <c r="N74" s="18"/>
      <c r="Q74" s="19"/>
      <c r="AC74" s="292"/>
      <c r="AD74" s="292"/>
      <c r="AE74" s="40"/>
    </row>
    <row r="75" spans="3:31" outlineLevel="1" x14ac:dyDescent="0.45">
      <c r="C75" s="5" t="s">
        <v>69</v>
      </c>
      <c r="D75" s="17" t="s">
        <v>68</v>
      </c>
      <c r="E75" s="44">
        <f>-E96/E56</f>
        <v>9.0084435755756961E-2</v>
      </c>
      <c r="F75" s="44">
        <f>-F96/F56</f>
        <v>9.7921344700737975E-2</v>
      </c>
      <c r="G75" s="44">
        <f>-G96/G56</f>
        <v>9.8478518321449646E-2</v>
      </c>
      <c r="H75" s="44">
        <f>-H96/H56</f>
        <v>0.10856075702859667</v>
      </c>
      <c r="I75" s="85">
        <f>H75+0.0035</f>
        <v>0.11206075702859668</v>
      </c>
      <c r="J75" s="85">
        <f t="shared" ref="J75:R75" si="89">I75+0.0035</f>
        <v>0.11556075702859668</v>
      </c>
      <c r="K75" s="85">
        <f t="shared" si="89"/>
        <v>0.11906075702859668</v>
      </c>
      <c r="L75" s="85">
        <f t="shared" si="89"/>
        <v>0.12256075702859669</v>
      </c>
      <c r="M75" s="85">
        <f t="shared" si="89"/>
        <v>0.12606075702859668</v>
      </c>
      <c r="N75" s="85">
        <f t="shared" si="89"/>
        <v>0.12956075702859668</v>
      </c>
      <c r="O75" s="85">
        <f t="shared" si="89"/>
        <v>0.13306075702859668</v>
      </c>
      <c r="P75" s="85">
        <f t="shared" si="89"/>
        <v>0.13656075702859669</v>
      </c>
      <c r="Q75" s="85">
        <f t="shared" si="89"/>
        <v>0.14006075702859669</v>
      </c>
      <c r="R75" s="85">
        <f t="shared" si="89"/>
        <v>0.14356075702859669</v>
      </c>
      <c r="T75" s="1"/>
      <c r="AC75" s="292"/>
      <c r="AD75" s="292"/>
      <c r="AE75" s="40"/>
    </row>
    <row r="76" spans="3:31" outlineLevel="1" x14ac:dyDescent="0.45">
      <c r="H76" s="294"/>
      <c r="I76" s="90"/>
      <c r="J76" s="90"/>
      <c r="K76" s="90"/>
      <c r="L76" s="90"/>
      <c r="M76" s="90"/>
      <c r="N76" s="90"/>
      <c r="O76" s="90"/>
      <c r="P76" s="90"/>
      <c r="Q76" s="90"/>
      <c r="R76" s="294"/>
      <c r="T76" s="1"/>
      <c r="AC76" s="292"/>
      <c r="AD76" s="292"/>
      <c r="AE76" s="40"/>
    </row>
    <row r="77" spans="3:31" outlineLevel="1" x14ac:dyDescent="0.45">
      <c r="C77" s="5" t="s">
        <v>60</v>
      </c>
      <c r="D77" s="17" t="s">
        <v>6</v>
      </c>
      <c r="E77" s="30">
        <f>-E97/E93</f>
        <v>6.7966098454897289E-2</v>
      </c>
      <c r="F77" s="30">
        <f t="shared" ref="F77:H77" si="90">-F97/F93</f>
        <v>5.9665943049849603E-2</v>
      </c>
      <c r="G77" s="30">
        <f t="shared" si="90"/>
        <v>7.4886141080761609E-2</v>
      </c>
      <c r="H77" s="30">
        <f t="shared" si="90"/>
        <v>7.53146199278103E-2</v>
      </c>
      <c r="I77" s="33">
        <v>7.5999999999999998E-2</v>
      </c>
      <c r="J77" s="33">
        <v>7.5999999999999998E-2</v>
      </c>
      <c r="K77" s="33">
        <v>7.6999999999999999E-2</v>
      </c>
      <c r="L77" s="33">
        <v>7.6999999999999999E-2</v>
      </c>
      <c r="M77" s="33">
        <v>7.8E-2</v>
      </c>
      <c r="N77" s="33">
        <v>7.8E-2</v>
      </c>
      <c r="O77" s="33">
        <v>7.9000000000000001E-2</v>
      </c>
      <c r="P77" s="33">
        <v>7.9000000000000001E-2</v>
      </c>
      <c r="Q77" s="33">
        <v>0.08</v>
      </c>
      <c r="R77" s="33">
        <v>0.08</v>
      </c>
      <c r="T77" s="1"/>
      <c r="AC77" s="292"/>
      <c r="AD77" s="292"/>
      <c r="AE77" s="40"/>
    </row>
    <row r="78" spans="3:31" outlineLevel="1" x14ac:dyDescent="0.45">
      <c r="C78" s="5" t="s">
        <v>61</v>
      </c>
      <c r="D78" s="17" t="s">
        <v>6</v>
      </c>
      <c r="E78" s="30">
        <f>-E98/E93</f>
        <v>2.2336996095100887E-2</v>
      </c>
      <c r="F78" s="30">
        <f t="shared" ref="F78:H78" si="91">-F98/F93</f>
        <v>2.4159206770814592E-2</v>
      </c>
      <c r="G78" s="30">
        <f t="shared" si="91"/>
        <v>1.8174291383548431E-2</v>
      </c>
      <c r="H78" s="30">
        <f t="shared" si="91"/>
        <v>1.7382558582367858E-2</v>
      </c>
      <c r="I78" s="33">
        <v>1.6E-2</v>
      </c>
      <c r="J78" s="33">
        <v>1.4999999999999999E-2</v>
      </c>
      <c r="K78" s="33">
        <v>1.4E-2</v>
      </c>
      <c r="L78" s="33">
        <v>1.2999999999999999E-2</v>
      </c>
      <c r="M78" s="33">
        <v>1.2999999999999999E-2</v>
      </c>
      <c r="N78" s="33">
        <v>1.2999999999999999E-2</v>
      </c>
      <c r="O78" s="33">
        <v>1.2999999999999999E-2</v>
      </c>
      <c r="P78" s="33">
        <v>1.2999999999999999E-2</v>
      </c>
      <c r="Q78" s="33">
        <v>1.2999999999999999E-2</v>
      </c>
      <c r="R78" s="33">
        <v>1.2999999999999999E-2</v>
      </c>
      <c r="T78" s="1"/>
      <c r="AC78" s="292"/>
      <c r="AD78" s="292"/>
      <c r="AE78" s="40"/>
    </row>
    <row r="79" spans="3:31" outlineLevel="1" x14ac:dyDescent="0.45">
      <c r="I79" s="84"/>
      <c r="T79" s="1"/>
      <c r="AC79" s="292"/>
      <c r="AD79" s="292"/>
      <c r="AE79" s="40"/>
    </row>
    <row r="80" spans="3:31" outlineLevel="1" x14ac:dyDescent="0.45">
      <c r="C80" s="5" t="s">
        <v>70</v>
      </c>
      <c r="D80" s="17" t="s">
        <v>68</v>
      </c>
      <c r="E80" s="44">
        <f>-E99/E56</f>
        <v>8.5486301757289634E-2</v>
      </c>
      <c r="F80" s="44">
        <f>-F99/F56</f>
        <v>8.7120265804586955E-2</v>
      </c>
      <c r="G80" s="44">
        <f>-G99/G56</f>
        <v>7.7574514633009226E-2</v>
      </c>
      <c r="H80" s="44">
        <f>-H99/H56</f>
        <v>8.0187965123188751E-2</v>
      </c>
      <c r="I80" s="85">
        <f>H80+0.001</f>
        <v>8.1187965123188752E-2</v>
      </c>
      <c r="J80" s="85">
        <f t="shared" ref="J80:R80" si="92">I80+0.001</f>
        <v>8.2187965123188753E-2</v>
      </c>
      <c r="K80" s="85">
        <f t="shared" si="92"/>
        <v>8.3187965123188753E-2</v>
      </c>
      <c r="L80" s="85">
        <f t="shared" si="92"/>
        <v>8.4187965123188754E-2</v>
      </c>
      <c r="M80" s="85">
        <f t="shared" si="92"/>
        <v>8.5187965123188755E-2</v>
      </c>
      <c r="N80" s="85">
        <f t="shared" si="92"/>
        <v>8.6187965123188756E-2</v>
      </c>
      <c r="O80" s="85">
        <f t="shared" si="92"/>
        <v>8.7187965123188757E-2</v>
      </c>
      <c r="P80" s="85">
        <f t="shared" si="92"/>
        <v>8.8187965123188758E-2</v>
      </c>
      <c r="Q80" s="85">
        <f t="shared" si="92"/>
        <v>8.9187965123188759E-2</v>
      </c>
      <c r="R80" s="85">
        <f t="shared" si="92"/>
        <v>9.018796512318876E-2</v>
      </c>
      <c r="T80" s="1"/>
      <c r="AC80" s="292"/>
      <c r="AD80" s="292"/>
      <c r="AE80" s="40"/>
    </row>
    <row r="81" spans="2:35" outlineLevel="1" x14ac:dyDescent="0.45">
      <c r="I81" s="293"/>
      <c r="L81" s="19"/>
      <c r="N81" s="18"/>
      <c r="Q81" s="19"/>
      <c r="T81" s="1"/>
      <c r="AC81" s="292"/>
      <c r="AD81" s="292"/>
      <c r="AE81" s="40"/>
    </row>
    <row r="82" spans="2:35" outlineLevel="1" x14ac:dyDescent="0.45">
      <c r="C82" s="5" t="s">
        <v>71</v>
      </c>
      <c r="D82" s="17" t="s">
        <v>6</v>
      </c>
      <c r="E82" s="59">
        <v>0.99622718466401539</v>
      </c>
      <c r="F82" s="59">
        <v>0.47743014091234776</v>
      </c>
      <c r="G82" s="59">
        <v>0.23808437856328393</v>
      </c>
      <c r="H82" s="59">
        <v>0.78466125559052513</v>
      </c>
      <c r="I82" s="32">
        <f t="shared" ref="I82:I83" si="93">AVERAGE(E82:H82)</f>
        <v>0.62410073993254311</v>
      </c>
      <c r="J82" s="32">
        <f t="shared" ref="J82:J83" si="94">I82</f>
        <v>0.62410073993254311</v>
      </c>
      <c r="K82" s="32">
        <f t="shared" ref="K82:K83" si="95">J82</f>
        <v>0.62410073993254311</v>
      </c>
      <c r="L82" s="32">
        <f t="shared" ref="L82:L83" si="96">K82</f>
        <v>0.62410073993254311</v>
      </c>
      <c r="M82" s="32">
        <f t="shared" ref="M82:M83" si="97">L82</f>
        <v>0.62410073993254311</v>
      </c>
      <c r="N82" s="32">
        <f t="shared" ref="N82:N83" si="98">M82</f>
        <v>0.62410073993254311</v>
      </c>
      <c r="O82" s="32">
        <f t="shared" ref="O82:O83" si="99">N82</f>
        <v>0.62410073993254311</v>
      </c>
      <c r="P82" s="32">
        <f t="shared" ref="P82:P83" si="100">O82</f>
        <v>0.62410073993254311</v>
      </c>
      <c r="Q82" s="32">
        <f t="shared" ref="Q82:Q83" si="101">P82</f>
        <v>0.62410073993254311</v>
      </c>
      <c r="R82" s="32">
        <f t="shared" ref="R82:R83" si="102">Q82</f>
        <v>0.62410073993254311</v>
      </c>
    </row>
    <row r="83" spans="2:35" outlineLevel="1" x14ac:dyDescent="0.45">
      <c r="C83" s="5" t="s">
        <v>72</v>
      </c>
      <c r="D83" s="17" t="s">
        <v>6</v>
      </c>
      <c r="E83" s="30">
        <f>E178/E93</f>
        <v>2.6536630803693229E-3</v>
      </c>
      <c r="F83" s="30">
        <f>F178/F93</f>
        <v>2.1963753962901491E-3</v>
      </c>
      <c r="G83" s="30">
        <f>G178/G93</f>
        <v>2.6238734823639388E-3</v>
      </c>
      <c r="H83" s="30">
        <f>H178/H93</f>
        <v>2.5623935052006492E-3</v>
      </c>
      <c r="I83" s="32">
        <f t="shared" si="93"/>
        <v>2.5090763660560152E-3</v>
      </c>
      <c r="J83" s="32">
        <f t="shared" si="94"/>
        <v>2.5090763660560152E-3</v>
      </c>
      <c r="K83" s="32">
        <f t="shared" si="95"/>
        <v>2.5090763660560152E-3</v>
      </c>
      <c r="L83" s="32">
        <f t="shared" si="96"/>
        <v>2.5090763660560152E-3</v>
      </c>
      <c r="M83" s="32">
        <f t="shared" si="97"/>
        <v>2.5090763660560152E-3</v>
      </c>
      <c r="N83" s="32">
        <f t="shared" si="98"/>
        <v>2.5090763660560152E-3</v>
      </c>
      <c r="O83" s="32">
        <f t="shared" si="99"/>
        <v>2.5090763660560152E-3</v>
      </c>
      <c r="P83" s="32">
        <f t="shared" si="100"/>
        <v>2.5090763660560152E-3</v>
      </c>
      <c r="Q83" s="32">
        <f t="shared" si="101"/>
        <v>2.5090763660560152E-3</v>
      </c>
      <c r="R83" s="32">
        <f t="shared" si="102"/>
        <v>2.5090763660560152E-3</v>
      </c>
    </row>
    <row r="84" spans="2:35" outlineLevel="1" x14ac:dyDescent="0.45">
      <c r="I84" s="18"/>
      <c r="L84" s="19"/>
      <c r="N84" s="18"/>
      <c r="Q84" s="19"/>
    </row>
    <row r="85" spans="2:35" outlineLevel="1" x14ac:dyDescent="0.45">
      <c r="C85" s="5" t="s">
        <v>216</v>
      </c>
      <c r="D85" s="17" t="s">
        <v>6</v>
      </c>
      <c r="E85" s="30">
        <f t="shared" ref="E85:H86" si="103">-E113/E$112</f>
        <v>0.21872569186860144</v>
      </c>
      <c r="F85" s="30">
        <f t="shared" si="103"/>
        <v>0.17476205254181318</v>
      </c>
      <c r="G85" s="30">
        <f t="shared" si="103"/>
        <v>0.18343149447774426</v>
      </c>
      <c r="H85" s="30">
        <f t="shared" si="103"/>
        <v>0.16993123969672916</v>
      </c>
      <c r="I85" s="33">
        <v>0.15740272318588022</v>
      </c>
      <c r="J85" s="33">
        <v>0.1560489699405484</v>
      </c>
      <c r="K85" s="33">
        <v>0.14401083599032274</v>
      </c>
      <c r="L85" s="33">
        <v>0.13295091888498875</v>
      </c>
      <c r="M85" s="33">
        <v>0.13567398807632586</v>
      </c>
      <c r="N85" s="33">
        <v>0.12715093137785427</v>
      </c>
      <c r="O85" s="33">
        <v>0.11859660864331725</v>
      </c>
      <c r="P85" s="33">
        <v>0.10998134551256747</v>
      </c>
      <c r="Q85" s="33">
        <v>0.10356775883786928</v>
      </c>
      <c r="R85" s="33">
        <v>9.5843039951718501E-2</v>
      </c>
    </row>
    <row r="86" spans="2:35" outlineLevel="1" x14ac:dyDescent="0.45">
      <c r="C86" s="5" t="s">
        <v>217</v>
      </c>
      <c r="D86" s="17" t="s">
        <v>6</v>
      </c>
      <c r="E86" s="30">
        <f t="shared" si="103"/>
        <v>-2.1494270034257688E-5</v>
      </c>
      <c r="F86" s="30">
        <f t="shared" si="103"/>
        <v>1.1450575433282343E-3</v>
      </c>
      <c r="G86" s="30">
        <f t="shared" si="103"/>
        <v>1.7598947329052904E-3</v>
      </c>
      <c r="H86" s="30">
        <f t="shared" si="103"/>
        <v>1.7508826244204132E-3</v>
      </c>
      <c r="I86" s="33">
        <v>2.1227540205496329E-3</v>
      </c>
      <c r="J86" s="33">
        <v>2.157025138038639E-3</v>
      </c>
      <c r="K86" s="33">
        <v>2.2282937139729911E-3</v>
      </c>
      <c r="L86" s="33">
        <v>2.2925761097547237E-3</v>
      </c>
      <c r="M86" s="33">
        <v>2.300816297667479E-3</v>
      </c>
      <c r="N86" s="33">
        <v>2.3476517763659195E-3</v>
      </c>
      <c r="O86" s="33">
        <v>2.3955870898507382E-3</v>
      </c>
      <c r="P86" s="33">
        <v>2.4438021572748981E-3</v>
      </c>
      <c r="Q86" s="33">
        <v>2.4810300009966758E-3</v>
      </c>
      <c r="R86" s="33">
        <v>2.5246827758717613E-3</v>
      </c>
    </row>
    <row r="87" spans="2:35" outlineLevel="1" x14ac:dyDescent="0.45">
      <c r="C87" s="18"/>
      <c r="H87" s="301"/>
    </row>
    <row r="88" spans="2:35" outlineLevel="1" x14ac:dyDescent="0.45">
      <c r="C88" s="5" t="s">
        <v>219</v>
      </c>
      <c r="D88" s="17" t="s">
        <v>6</v>
      </c>
      <c r="E88" s="30">
        <f>E116/E$112</f>
        <v>0.10336187811122295</v>
      </c>
      <c r="F88" s="30">
        <f t="shared" ref="F88:H88" si="104">F116/F$112</f>
        <v>7.0108607765981212E-2</v>
      </c>
      <c r="G88" s="30">
        <f t="shared" si="104"/>
        <v>5.3772395727158903E-2</v>
      </c>
      <c r="H88" s="30">
        <f t="shared" si="104"/>
        <v>2.3600999888661822E-2</v>
      </c>
      <c r="I88" s="33">
        <v>2.0695753537865572E-2</v>
      </c>
      <c r="J88" s="33">
        <v>1.8453376044099471E-2</v>
      </c>
      <c r="K88" s="33">
        <v>1.5813488042555456E-2</v>
      </c>
      <c r="L88" s="33">
        <v>1.3246503703739379E-2</v>
      </c>
      <c r="M88" s="33">
        <v>1.1553132002133896E-2</v>
      </c>
      <c r="N88" s="33">
        <v>9.3410758072088491E-3</v>
      </c>
      <c r="O88" s="33">
        <v>8.7395843095842592E-3</v>
      </c>
      <c r="P88" s="33">
        <v>8.078249214895767E-3</v>
      </c>
      <c r="Q88" s="33">
        <v>7.6307098322668607E-3</v>
      </c>
      <c r="R88" s="33">
        <v>7.0269727224430145E-3</v>
      </c>
    </row>
    <row r="89" spans="2:35" x14ac:dyDescent="0.45">
      <c r="I89" s="18"/>
      <c r="L89" s="19"/>
      <c r="N89" s="18"/>
      <c r="Q89" s="19"/>
    </row>
    <row r="90" spans="2:35" x14ac:dyDescent="0.45">
      <c r="B90" s="10"/>
      <c r="C90" s="10"/>
      <c r="D90" s="10"/>
      <c r="E90" s="22" t="str">
        <f>$E$21</f>
        <v>Historical:</v>
      </c>
      <c r="F90" s="22"/>
      <c r="G90" s="23"/>
      <c r="H90" s="24"/>
      <c r="I90" s="22" t="str">
        <f>$I$21</f>
        <v>Projected:</v>
      </c>
      <c r="J90" s="23"/>
      <c r="K90" s="23"/>
      <c r="L90" s="23"/>
      <c r="M90" s="23"/>
      <c r="N90" s="23"/>
      <c r="O90" s="23"/>
      <c r="P90" s="23"/>
      <c r="Q90" s="23"/>
      <c r="R90" s="23"/>
      <c r="U90" s="287" t="s">
        <v>197</v>
      </c>
      <c r="V90" s="287" t="s">
        <v>195</v>
      </c>
      <c r="AE90" s="40"/>
    </row>
    <row r="91" spans="2:35" x14ac:dyDescent="0.45">
      <c r="B91" s="26" t="s">
        <v>220</v>
      </c>
      <c r="C91" s="11"/>
      <c r="D91" s="29" t="str">
        <f>$D$22</f>
        <v>Units:</v>
      </c>
      <c r="E91" s="20">
        <f>$E$22</f>
        <v>44561</v>
      </c>
      <c r="F91" s="20">
        <f>$F$22</f>
        <v>44926</v>
      </c>
      <c r="G91" s="20">
        <f>$G$22</f>
        <v>45291</v>
      </c>
      <c r="H91" s="25">
        <f>$H$22</f>
        <v>45657</v>
      </c>
      <c r="I91" s="20">
        <f>$I$22</f>
        <v>46022</v>
      </c>
      <c r="J91" s="20">
        <f>$J$22</f>
        <v>46387</v>
      </c>
      <c r="K91" s="20">
        <f>$K$22</f>
        <v>46752</v>
      </c>
      <c r="L91" s="20">
        <f>$L$22</f>
        <v>47118</v>
      </c>
      <c r="M91" s="20">
        <f>$M$22</f>
        <v>47483</v>
      </c>
      <c r="N91" s="20">
        <f>$N$22</f>
        <v>47848</v>
      </c>
      <c r="O91" s="20">
        <f>$O$22</f>
        <v>48213</v>
      </c>
      <c r="P91" s="20">
        <f>$P$22</f>
        <v>48579</v>
      </c>
      <c r="Q91" s="20">
        <f>$Q$22</f>
        <v>48944</v>
      </c>
      <c r="R91" s="20">
        <f>$R$22</f>
        <v>49309</v>
      </c>
      <c r="U91" s="288" t="s">
        <v>196</v>
      </c>
      <c r="V91" s="288" t="s">
        <v>196</v>
      </c>
      <c r="AI91" s="40"/>
    </row>
    <row r="92" spans="2:35" outlineLevel="1" x14ac:dyDescent="0.45">
      <c r="B92" s="91"/>
      <c r="C92" s="92"/>
      <c r="D92" s="93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U92"/>
      <c r="V92"/>
      <c r="AI92" s="40"/>
    </row>
    <row r="93" spans="2:35" outlineLevel="1" x14ac:dyDescent="0.45">
      <c r="C93" s="283" t="s">
        <v>45</v>
      </c>
      <c r="D93" s="17" t="s">
        <v>24</v>
      </c>
      <c r="E93" s="284">
        <v>2877.1550000000002</v>
      </c>
      <c r="F93" s="284">
        <v>3251.721</v>
      </c>
      <c r="G93" s="284">
        <v>3106.4760000000001</v>
      </c>
      <c r="H93" s="284">
        <v>3605.223</v>
      </c>
      <c r="I93" s="285">
        <f t="shared" ref="I93:R93" si="105">I37</f>
        <v>3885.1009650274154</v>
      </c>
      <c r="J93" s="285">
        <f t="shared" si="105"/>
        <v>4175.7870584601578</v>
      </c>
      <c r="K93" s="285">
        <f t="shared" si="105"/>
        <v>4484.2579906556384</v>
      </c>
      <c r="L93" s="285">
        <f t="shared" si="105"/>
        <v>4799.8286795511267</v>
      </c>
      <c r="M93" s="285">
        <f t="shared" si="105"/>
        <v>5104.7411691388461</v>
      </c>
      <c r="N93" s="285">
        <f t="shared" si="105"/>
        <v>5382.6093527174426</v>
      </c>
      <c r="O93" s="285">
        <f t="shared" si="105"/>
        <v>5671.5237979916528</v>
      </c>
      <c r="P93" s="285">
        <f t="shared" si="105"/>
        <v>5985.3503903425017</v>
      </c>
      <c r="Q93" s="285">
        <f t="shared" si="105"/>
        <v>6274.6647724061331</v>
      </c>
      <c r="R93" s="285">
        <f t="shared" si="105"/>
        <v>6596.2144789050581</v>
      </c>
      <c r="U93" s="289">
        <f>(H93/E93)^(1/YEARFRAC(E$22,H$22,))-1</f>
        <v>7.8093161626835661E-2</v>
      </c>
      <c r="V93" s="289">
        <f>(R93/H93)^(1/YEARFRAC(R$22,H$22,))-1</f>
        <v>6.2273294675381674E-2</v>
      </c>
      <c r="AI93" s="40"/>
    </row>
    <row r="94" spans="2:35" outlineLevel="1" x14ac:dyDescent="0.45">
      <c r="I94" s="18"/>
      <c r="L94" s="19"/>
      <c r="Q94" s="19"/>
      <c r="U94" s="289"/>
      <c r="V94" s="289"/>
      <c r="AI94" s="40"/>
    </row>
    <row r="95" spans="2:35" outlineLevel="1" x14ac:dyDescent="0.45">
      <c r="C95" s="5" t="s">
        <v>46</v>
      </c>
      <c r="D95" s="17" t="s">
        <v>24</v>
      </c>
      <c r="E95" s="48">
        <v>-322.28500000000003</v>
      </c>
      <c r="F95" s="48">
        <v>-420.9</v>
      </c>
      <c r="G95" s="48">
        <v>-164.59800000000001</v>
      </c>
      <c r="H95" s="48">
        <v>-172.251</v>
      </c>
      <c r="I95" s="4">
        <f t="shared" ref="I95:R95" si="106">-I35</f>
        <v>-152.63720398175761</v>
      </c>
      <c r="J95" s="4">
        <f t="shared" si="106"/>
        <v>-164.93184334562264</v>
      </c>
      <c r="K95" s="4">
        <f t="shared" si="106"/>
        <v>-178.00214108126238</v>
      </c>
      <c r="L95" s="4">
        <f t="shared" si="106"/>
        <v>-191.32792158046854</v>
      </c>
      <c r="M95" s="4">
        <f t="shared" si="106"/>
        <v>-204.28240167245255</v>
      </c>
      <c r="N95" s="4">
        <f t="shared" si="106"/>
        <v>-216.06618262051148</v>
      </c>
      <c r="O95" s="4">
        <f t="shared" si="106"/>
        <v>-228.43359222608433</v>
      </c>
      <c r="P95" s="4">
        <f t="shared" si="106"/>
        <v>-241.82611306274868</v>
      </c>
      <c r="Q95" s="4">
        <f t="shared" si="106"/>
        <v>-254.24293197476436</v>
      </c>
      <c r="R95" s="4">
        <f t="shared" si="106"/>
        <v>-268.03095949284551</v>
      </c>
      <c r="U95" s="289"/>
      <c r="V95" s="289"/>
      <c r="AI95" s="40"/>
    </row>
    <row r="96" spans="2:35" outlineLevel="1" x14ac:dyDescent="0.45">
      <c r="C96" s="5" t="s">
        <v>27</v>
      </c>
      <c r="D96" s="17" t="s">
        <v>24</v>
      </c>
      <c r="E96" s="48">
        <v>-581.29999999999995</v>
      </c>
      <c r="F96" s="48">
        <v>-654.56600000000003</v>
      </c>
      <c r="G96" s="48">
        <v>-762.53</v>
      </c>
      <c r="H96" s="48">
        <v>-880.56799999999998</v>
      </c>
      <c r="I96" s="4">
        <f t="shared" ref="I96:R96" si="107">-I75*I56</f>
        <v>-938.19203314830156</v>
      </c>
      <c r="J96" s="4">
        <f t="shared" si="107"/>
        <v>-1001.4178032577626</v>
      </c>
      <c r="K96" s="4">
        <f t="shared" si="107"/>
        <v>-1067.9992938961677</v>
      </c>
      <c r="L96" s="4">
        <f t="shared" si="107"/>
        <v>-1138.3508715445175</v>
      </c>
      <c r="M96" s="4">
        <f t="shared" si="107"/>
        <v>-1205.7531579339591</v>
      </c>
      <c r="N96" s="4">
        <f t="shared" si="107"/>
        <v>-1270.5634761223948</v>
      </c>
      <c r="O96" s="4">
        <f t="shared" si="107"/>
        <v>-1334.4819889123764</v>
      </c>
      <c r="P96" s="4">
        <f t="shared" si="107"/>
        <v>-1404.5100344677123</v>
      </c>
      <c r="Q96" s="4">
        <f t="shared" si="107"/>
        <v>-1469.2082052798805</v>
      </c>
      <c r="R96" s="4">
        <f t="shared" si="107"/>
        <v>-1540.1641165214758</v>
      </c>
      <c r="U96" s="289"/>
      <c r="V96" s="289"/>
      <c r="AI96" s="40"/>
    </row>
    <row r="97" spans="2:35" outlineLevel="1" x14ac:dyDescent="0.45">
      <c r="C97" s="5" t="s">
        <v>53</v>
      </c>
      <c r="D97" s="17" t="s">
        <v>24</v>
      </c>
      <c r="E97" s="48">
        <v>-195.54900000000001</v>
      </c>
      <c r="F97" s="48">
        <v>-194.017</v>
      </c>
      <c r="G97" s="48">
        <v>-232.63200000000001</v>
      </c>
      <c r="H97" s="48">
        <v>-271.52600000000001</v>
      </c>
      <c r="I97" s="4">
        <f t="shared" ref="I97:R97" si="108">-I93*I77</f>
        <v>-295.26767334208358</v>
      </c>
      <c r="J97" s="4">
        <f t="shared" si="108"/>
        <v>-317.35981644297198</v>
      </c>
      <c r="K97" s="4">
        <f t="shared" si="108"/>
        <v>-345.28786528048414</v>
      </c>
      <c r="L97" s="4">
        <f t="shared" si="108"/>
        <v>-369.58680832543678</v>
      </c>
      <c r="M97" s="4">
        <f t="shared" si="108"/>
        <v>-398.16981119282997</v>
      </c>
      <c r="N97" s="4">
        <f t="shared" si="108"/>
        <v>-419.84352951196053</v>
      </c>
      <c r="O97" s="4">
        <f t="shared" si="108"/>
        <v>-448.05038004134059</v>
      </c>
      <c r="P97" s="4">
        <f t="shared" si="108"/>
        <v>-472.84268083705763</v>
      </c>
      <c r="Q97" s="4">
        <f t="shared" si="108"/>
        <v>-501.97318179249066</v>
      </c>
      <c r="R97" s="4">
        <f t="shared" si="108"/>
        <v>-527.69715831240467</v>
      </c>
      <c r="AI97" s="40"/>
    </row>
    <row r="98" spans="2:35" outlineLevel="1" x14ac:dyDescent="0.45">
      <c r="C98" s="5" t="s">
        <v>54</v>
      </c>
      <c r="D98" s="17" t="s">
        <v>24</v>
      </c>
      <c r="E98" s="48">
        <v>-64.266999999999996</v>
      </c>
      <c r="F98" s="48">
        <v>-78.558999999999997</v>
      </c>
      <c r="G98" s="48">
        <v>-56.457999999999998</v>
      </c>
      <c r="H98" s="48">
        <v>-62.667999999999999</v>
      </c>
      <c r="I98" s="4">
        <f t="shared" ref="I98:R98" si="109">-I93*I78</f>
        <v>-62.161615440438645</v>
      </c>
      <c r="J98" s="4">
        <f t="shared" si="109"/>
        <v>-62.636805876902365</v>
      </c>
      <c r="K98" s="4">
        <f t="shared" si="109"/>
        <v>-62.779611869178936</v>
      </c>
      <c r="L98" s="4">
        <f t="shared" si="109"/>
        <v>-62.397772834164641</v>
      </c>
      <c r="M98" s="4">
        <f t="shared" si="109"/>
        <v>-66.36163519880499</v>
      </c>
      <c r="N98" s="4">
        <f t="shared" si="109"/>
        <v>-69.97392158532675</v>
      </c>
      <c r="O98" s="4">
        <f t="shared" si="109"/>
        <v>-73.729809373891484</v>
      </c>
      <c r="P98" s="4">
        <f t="shared" si="109"/>
        <v>-77.809555074452518</v>
      </c>
      <c r="Q98" s="4">
        <f t="shared" si="109"/>
        <v>-81.570642041279726</v>
      </c>
      <c r="R98" s="4">
        <f t="shared" si="109"/>
        <v>-85.750788225765746</v>
      </c>
      <c r="AI98" s="40"/>
    </row>
    <row r="99" spans="2:35" outlineLevel="1" x14ac:dyDescent="0.45">
      <c r="C99" s="5" t="s">
        <v>28</v>
      </c>
      <c r="D99" s="17" t="s">
        <v>24</v>
      </c>
      <c r="E99" s="48">
        <v>-551.62900000000002</v>
      </c>
      <c r="F99" s="48">
        <v>-582.36500000000001</v>
      </c>
      <c r="G99" s="48">
        <v>-600.66800000000001</v>
      </c>
      <c r="H99" s="48">
        <v>-650.428</v>
      </c>
      <c r="I99" s="4">
        <f t="shared" ref="I99:R99" si="110">-I36</f>
        <v>-679.71968141050604</v>
      </c>
      <c r="J99" s="4">
        <f t="shared" si="110"/>
        <v>-712.2183482020821</v>
      </c>
      <c r="K99" s="4">
        <f t="shared" si="110"/>
        <v>-746.21302794912856</v>
      </c>
      <c r="L99" s="4">
        <f t="shared" si="110"/>
        <v>-781.94232636128709</v>
      </c>
      <c r="M99" s="4">
        <f t="shared" si="110"/>
        <v>-814.81073401734318</v>
      </c>
      <c r="N99" s="4">
        <f t="shared" si="110"/>
        <v>-845.21951768670169</v>
      </c>
      <c r="O99" s="4">
        <f t="shared" si="110"/>
        <v>-874.4183612438818</v>
      </c>
      <c r="P99" s="4">
        <f t="shared" si="110"/>
        <v>-907.00201602477944</v>
      </c>
      <c r="Q99" s="4">
        <f t="shared" si="110"/>
        <v>-935.5632009360819</v>
      </c>
      <c r="R99" s="4">
        <f t="shared" si="110"/>
        <v>-967.56432955530136</v>
      </c>
      <c r="AI99" s="40"/>
    </row>
    <row r="100" spans="2:35" outlineLevel="1" x14ac:dyDescent="0.45">
      <c r="C100" s="5" t="s">
        <v>55</v>
      </c>
      <c r="D100" s="17" t="s">
        <v>24</v>
      </c>
      <c r="E100" s="48">
        <v>-30.542999999999999</v>
      </c>
      <c r="F100" s="48">
        <v>-20.585000000000001</v>
      </c>
      <c r="G100" s="48">
        <v>-52.884</v>
      </c>
      <c r="H100" s="48">
        <v>-6.2060000000000004</v>
      </c>
      <c r="I100" s="86">
        <v>0</v>
      </c>
      <c r="J100" s="21">
        <f>I100</f>
        <v>0</v>
      </c>
      <c r="K100" s="21">
        <f t="shared" ref="K100:R100" si="111">J100</f>
        <v>0</v>
      </c>
      <c r="L100" s="21">
        <f t="shared" si="111"/>
        <v>0</v>
      </c>
      <c r="M100" s="21">
        <f t="shared" si="111"/>
        <v>0</v>
      </c>
      <c r="N100" s="21">
        <f t="shared" si="111"/>
        <v>0</v>
      </c>
      <c r="O100" s="21">
        <f t="shared" si="111"/>
        <v>0</v>
      </c>
      <c r="P100" s="21">
        <f t="shared" si="111"/>
        <v>0</v>
      </c>
      <c r="Q100" s="21">
        <f t="shared" si="111"/>
        <v>0</v>
      </c>
      <c r="R100" s="21">
        <f t="shared" si="111"/>
        <v>0</v>
      </c>
      <c r="AI100" s="40"/>
    </row>
    <row r="101" spans="2:35" outlineLevel="1" x14ac:dyDescent="0.45">
      <c r="C101" s="5" t="s">
        <v>64</v>
      </c>
      <c r="D101" s="31" t="s">
        <v>24</v>
      </c>
      <c r="E101" s="48">
        <v>4.3999999999999997E-2</v>
      </c>
      <c r="F101" s="48">
        <v>103.676</v>
      </c>
      <c r="G101" s="48">
        <v>-10.102</v>
      </c>
      <c r="H101" s="48">
        <v>296.77100000000002</v>
      </c>
      <c r="I101" s="86">
        <v>0</v>
      </c>
      <c r="J101" s="21">
        <f t="shared" ref="J101:R101" si="112">I101</f>
        <v>0</v>
      </c>
      <c r="K101" s="21">
        <f t="shared" si="112"/>
        <v>0</v>
      </c>
      <c r="L101" s="21">
        <f t="shared" si="112"/>
        <v>0</v>
      </c>
      <c r="M101" s="21">
        <f t="shared" si="112"/>
        <v>0</v>
      </c>
      <c r="N101" s="21">
        <f t="shared" si="112"/>
        <v>0</v>
      </c>
      <c r="O101" s="21">
        <f t="shared" si="112"/>
        <v>0</v>
      </c>
      <c r="P101" s="21">
        <f t="shared" si="112"/>
        <v>0</v>
      </c>
      <c r="Q101" s="21">
        <f t="shared" si="112"/>
        <v>0</v>
      </c>
      <c r="R101" s="21">
        <f t="shared" si="112"/>
        <v>0</v>
      </c>
    </row>
    <row r="102" spans="2:35" outlineLevel="1" x14ac:dyDescent="0.45">
      <c r="C102" s="28" t="s">
        <v>194</v>
      </c>
      <c r="D102" s="17" t="s">
        <v>24</v>
      </c>
      <c r="E102" s="54">
        <f>SUM(E95:E101)</f>
        <v>-1745.529</v>
      </c>
      <c r="F102" s="54">
        <f>SUM(F95:F101)</f>
        <v>-1847.316</v>
      </c>
      <c r="G102" s="54">
        <f t="shared" ref="G102:H102" si="113">SUM(G95:G101)</f>
        <v>-1879.8720000000001</v>
      </c>
      <c r="H102" s="54">
        <f t="shared" si="113"/>
        <v>-1746.8759999999997</v>
      </c>
      <c r="I102" s="54">
        <f>SUM(I95:I101)</f>
        <v>-2127.9782073230876</v>
      </c>
      <c r="J102" s="54">
        <f t="shared" ref="J102:R102" si="114">SUM(J95:J101)</f>
        <v>-2258.564617125342</v>
      </c>
      <c r="K102" s="54">
        <f t="shared" si="114"/>
        <v>-2400.2819400762219</v>
      </c>
      <c r="L102" s="54">
        <f t="shared" si="114"/>
        <v>-2543.6057006458745</v>
      </c>
      <c r="M102" s="54">
        <f t="shared" si="114"/>
        <v>-2689.3777400153899</v>
      </c>
      <c r="N102" s="54">
        <f t="shared" si="114"/>
        <v>-2821.6666275268954</v>
      </c>
      <c r="O102" s="54">
        <f t="shared" si="114"/>
        <v>-2959.1141317975748</v>
      </c>
      <c r="P102" s="54">
        <f t="shared" si="114"/>
        <v>-3103.9903994667507</v>
      </c>
      <c r="Q102" s="54">
        <f t="shared" si="114"/>
        <v>-3242.5581620244975</v>
      </c>
      <c r="R102" s="54">
        <f t="shared" si="114"/>
        <v>-3389.2073521077932</v>
      </c>
      <c r="AI102" s="40"/>
    </row>
    <row r="103" spans="2:35" outlineLevel="1" x14ac:dyDescent="0.45">
      <c r="AI103" s="40"/>
    </row>
    <row r="104" spans="2:35" outlineLevel="1" x14ac:dyDescent="0.45">
      <c r="C104" s="2" t="s">
        <v>56</v>
      </c>
      <c r="D104" s="17" t="s">
        <v>24</v>
      </c>
      <c r="E104" s="64">
        <f>E93+E102</f>
        <v>1131.6260000000002</v>
      </c>
      <c r="F104" s="64">
        <f t="shared" ref="F104:H104" si="115">F93+F102</f>
        <v>1404.405</v>
      </c>
      <c r="G104" s="64">
        <f t="shared" si="115"/>
        <v>1226.604</v>
      </c>
      <c r="H104" s="64">
        <f t="shared" si="115"/>
        <v>1858.3470000000002</v>
      </c>
      <c r="I104" s="64">
        <f>I93+I102</f>
        <v>1757.1227577043278</v>
      </c>
      <c r="J104" s="64">
        <f t="shared" ref="J104:R104" si="116">J93+J102</f>
        <v>1917.2224413348158</v>
      </c>
      <c r="K104" s="64">
        <f t="shared" si="116"/>
        <v>2083.9760505794166</v>
      </c>
      <c r="L104" s="64">
        <f t="shared" si="116"/>
        <v>2256.2229789052521</v>
      </c>
      <c r="M104" s="64">
        <f t="shared" si="116"/>
        <v>2415.3634291234562</v>
      </c>
      <c r="N104" s="64">
        <f t="shared" si="116"/>
        <v>2560.9427251905472</v>
      </c>
      <c r="O104" s="64">
        <f t="shared" si="116"/>
        <v>2712.409666194078</v>
      </c>
      <c r="P104" s="64">
        <f t="shared" si="116"/>
        <v>2881.359990875751</v>
      </c>
      <c r="Q104" s="64">
        <f t="shared" si="116"/>
        <v>3032.1066103816356</v>
      </c>
      <c r="R104" s="64">
        <f t="shared" si="116"/>
        <v>3207.0071267972648</v>
      </c>
      <c r="U104" s="289">
        <f>(H104/E104)^(1/YEARFRAC(E$22,H$22,))-1</f>
        <v>0.1797988393340022</v>
      </c>
      <c r="V104" s="289">
        <f>(R104/H104)^(1/YEARFRAC(R$22,H$22,))-1</f>
        <v>5.6081199724110409E-2</v>
      </c>
      <c r="AI104" s="40"/>
    </row>
    <row r="105" spans="2:35" outlineLevel="1" x14ac:dyDescent="0.45">
      <c r="I105" s="18"/>
      <c r="L105" s="19"/>
      <c r="Q105" s="19"/>
      <c r="AI105" s="40"/>
    </row>
    <row r="106" spans="2:35" outlineLevel="1" x14ac:dyDescent="0.45">
      <c r="C106" s="2" t="s">
        <v>16</v>
      </c>
      <c r="D106" s="17" t="s">
        <v>24</v>
      </c>
      <c r="E106" s="47">
        <f t="shared" ref="E106:R106" si="117">E93+SUM(E95:E98)+E178</f>
        <v>1721.3890000000001</v>
      </c>
      <c r="F106" s="47">
        <f t="shared" si="117"/>
        <v>1910.8210000000001</v>
      </c>
      <c r="G106" s="47">
        <f t="shared" si="117"/>
        <v>1898.4090000000001</v>
      </c>
      <c r="H106" s="47">
        <f t="shared" si="117"/>
        <v>2227.4479999999999</v>
      </c>
      <c r="I106" s="47">
        <f t="shared" si="117"/>
        <v>2446.5904541259256</v>
      </c>
      <c r="J106" s="47">
        <f t="shared" si="117"/>
        <v>2639.9181581549633</v>
      </c>
      <c r="K106" s="47">
        <f t="shared" si="117"/>
        <v>2841.4404242721971</v>
      </c>
      <c r="L106" s="47">
        <f t="shared" si="117"/>
        <v>3050.2084419675189</v>
      </c>
      <c r="M106" s="47">
        <f t="shared" si="117"/>
        <v>3242.9823485631191</v>
      </c>
      <c r="N106" s="47">
        <f t="shared" si="117"/>
        <v>3419.6676207918645</v>
      </c>
      <c r="O106" s="47">
        <f t="shared" si="117"/>
        <v>3601.0583137590252</v>
      </c>
      <c r="P106" s="47">
        <f t="shared" si="117"/>
        <v>3803.3797081075031</v>
      </c>
      <c r="Q106" s="47">
        <f t="shared" si="117"/>
        <v>3983.4134244030861</v>
      </c>
      <c r="R106" s="47">
        <f t="shared" si="117"/>
        <v>4191.1218622070237</v>
      </c>
      <c r="U106" s="289">
        <f>(H106/E106)^(1/YEARFRAC(E$22,H$22,))-1</f>
        <v>8.970643849922455E-2</v>
      </c>
      <c r="V106" s="289">
        <f>(R106/H106)^(1/YEARFRAC(R$22,H$22,))-1</f>
        <v>6.525178707842838E-2</v>
      </c>
      <c r="AI106" s="40"/>
    </row>
    <row r="107" spans="2:35" outlineLevel="1" x14ac:dyDescent="0.45">
      <c r="C107" s="35" t="s">
        <v>26</v>
      </c>
      <c r="D107" s="17" t="s">
        <v>6</v>
      </c>
      <c r="E107" s="36">
        <f t="shared" ref="E107:R107" si="118">E106/E93</f>
        <v>0.59829553847463901</v>
      </c>
      <c r="F107" s="36">
        <f t="shared" si="118"/>
        <v>0.58763374840584426</v>
      </c>
      <c r="G107" s="36">
        <f t="shared" si="118"/>
        <v>0.61111336446829145</v>
      </c>
      <c r="H107" s="36">
        <f t="shared" si="118"/>
        <v>0.61783917388744047</v>
      </c>
      <c r="I107" s="36">
        <f t="shared" si="118"/>
        <v>0.62973664678201258</v>
      </c>
      <c r="J107" s="36">
        <f t="shared" si="118"/>
        <v>0.63219654671003411</v>
      </c>
      <c r="K107" s="36">
        <f t="shared" si="118"/>
        <v>0.63364784769146465</v>
      </c>
      <c r="L107" s="36">
        <f t="shared" si="118"/>
        <v>0.63548277357532068</v>
      </c>
      <c r="M107" s="36">
        <f t="shared" si="118"/>
        <v>0.63528830181809204</v>
      </c>
      <c r="N107" s="36">
        <f t="shared" si="118"/>
        <v>0.63531781645372887</v>
      </c>
      <c r="O107" s="36">
        <f t="shared" si="118"/>
        <v>0.63493664877756462</v>
      </c>
      <c r="P107" s="36">
        <f t="shared" si="118"/>
        <v>0.63544812919296123</v>
      </c>
      <c r="Q107" s="36">
        <f t="shared" si="118"/>
        <v>0.63484083515039713</v>
      </c>
      <c r="R107" s="36">
        <f t="shared" si="118"/>
        <v>0.63538289660082903</v>
      </c>
      <c r="AI107" s="40"/>
    </row>
    <row r="108" spans="2:35" x14ac:dyDescent="0.45">
      <c r="I108" s="18"/>
      <c r="L108" s="19"/>
      <c r="N108" s="18"/>
      <c r="Q108" s="19"/>
      <c r="AI108" s="40"/>
    </row>
    <row r="109" spans="2:35" x14ac:dyDescent="0.45">
      <c r="B109" s="65"/>
      <c r="C109" s="66"/>
      <c r="D109" s="10"/>
      <c r="E109" s="22" t="str">
        <f>$E$21</f>
        <v>Historical:</v>
      </c>
      <c r="F109" s="22"/>
      <c r="G109" s="23"/>
      <c r="H109" s="24"/>
      <c r="I109" s="22" t="str">
        <f>$I$21</f>
        <v>Projected:</v>
      </c>
      <c r="J109" s="23"/>
      <c r="K109" s="23"/>
      <c r="L109" s="23"/>
      <c r="M109" s="23"/>
      <c r="N109" s="23"/>
      <c r="O109" s="23"/>
      <c r="P109" s="23"/>
      <c r="Q109" s="23"/>
      <c r="R109" s="23"/>
      <c r="U109" s="287" t="s">
        <v>197</v>
      </c>
      <c r="V109" s="287" t="s">
        <v>195</v>
      </c>
    </row>
    <row r="110" spans="2:35" x14ac:dyDescent="0.45">
      <c r="B110" s="67" t="s">
        <v>222</v>
      </c>
      <c r="C110" s="68"/>
      <c r="D110" s="29" t="str">
        <f>$D$22</f>
        <v>Units:</v>
      </c>
      <c r="E110" s="20">
        <f>$E$22</f>
        <v>44561</v>
      </c>
      <c r="F110" s="20">
        <f>$F$22</f>
        <v>44926</v>
      </c>
      <c r="G110" s="20">
        <f>$G$22</f>
        <v>45291</v>
      </c>
      <c r="H110" s="25">
        <f>$H$22</f>
        <v>45657</v>
      </c>
      <c r="I110" s="20">
        <f>$I$22</f>
        <v>46022</v>
      </c>
      <c r="J110" s="20">
        <f>$J$22</f>
        <v>46387</v>
      </c>
      <c r="K110" s="20">
        <f>$K$22</f>
        <v>46752</v>
      </c>
      <c r="L110" s="20">
        <f>$L$22</f>
        <v>47118</v>
      </c>
      <c r="M110" s="20">
        <f>$M$22</f>
        <v>47483</v>
      </c>
      <c r="N110" s="20">
        <f>$N$22</f>
        <v>47848</v>
      </c>
      <c r="O110" s="20">
        <f>$O$22</f>
        <v>48213</v>
      </c>
      <c r="P110" s="20">
        <f>$P$22</f>
        <v>48579</v>
      </c>
      <c r="Q110" s="20">
        <f>$Q$22</f>
        <v>48944</v>
      </c>
      <c r="R110" s="20">
        <f>$R$22</f>
        <v>49309</v>
      </c>
      <c r="U110" s="288" t="s">
        <v>196</v>
      </c>
      <c r="V110" s="288" t="s">
        <v>196</v>
      </c>
    </row>
    <row r="111" spans="2:35" outlineLevel="1" x14ac:dyDescent="0.45"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</row>
    <row r="112" spans="2:35" outlineLevel="1" x14ac:dyDescent="0.45">
      <c r="C112" s="2" t="s">
        <v>16</v>
      </c>
      <c r="D112" s="88" t="s">
        <v>24</v>
      </c>
      <c r="E112" s="47">
        <f t="shared" ref="E112:R112" si="119">E106</f>
        <v>1721.3890000000001</v>
      </c>
      <c r="F112" s="47">
        <f t="shared" si="119"/>
        <v>1910.8210000000001</v>
      </c>
      <c r="G112" s="47">
        <f t="shared" si="119"/>
        <v>1898.4090000000001</v>
      </c>
      <c r="H112" s="47">
        <f t="shared" si="119"/>
        <v>2227.4479999999999</v>
      </c>
      <c r="I112" s="47">
        <f t="shared" si="119"/>
        <v>2446.5904541259256</v>
      </c>
      <c r="J112" s="47">
        <f t="shared" si="119"/>
        <v>2639.9181581549633</v>
      </c>
      <c r="K112" s="47">
        <f t="shared" si="119"/>
        <v>2841.4404242721971</v>
      </c>
      <c r="L112" s="47">
        <f t="shared" si="119"/>
        <v>3050.2084419675189</v>
      </c>
      <c r="M112" s="47">
        <f t="shared" si="119"/>
        <v>3242.9823485631191</v>
      </c>
      <c r="N112" s="47">
        <f t="shared" si="119"/>
        <v>3419.6676207918645</v>
      </c>
      <c r="O112" s="47">
        <f t="shared" si="119"/>
        <v>3601.0583137590252</v>
      </c>
      <c r="P112" s="47">
        <f t="shared" si="119"/>
        <v>3803.3797081075031</v>
      </c>
      <c r="Q112" s="47">
        <f t="shared" si="119"/>
        <v>3983.4134244030861</v>
      </c>
      <c r="R112" s="47">
        <f t="shared" si="119"/>
        <v>4191.1218622070237</v>
      </c>
      <c r="U112" s="289">
        <f>(H112/E112)^(1/YEARFRAC(E$22,H$22,))-1</f>
        <v>8.970643849922455E-2</v>
      </c>
      <c r="V112" s="289">
        <f>(R112/H112)^(1/YEARFRAC(R$22,H$22,))-1</f>
        <v>6.525178707842838E-2</v>
      </c>
    </row>
    <row r="113" spans="2:22" outlineLevel="1" x14ac:dyDescent="0.45">
      <c r="C113" s="5" t="s">
        <v>192</v>
      </c>
      <c r="D113" s="88" t="s">
        <v>24</v>
      </c>
      <c r="E113" s="48">
        <v>-376.512</v>
      </c>
      <c r="F113" s="48">
        <v>-333.93900000000002</v>
      </c>
      <c r="G113" s="48">
        <v>-348.22800000000001</v>
      </c>
      <c r="H113" s="48">
        <v>-378.51299999999998</v>
      </c>
      <c r="I113" s="21">
        <f t="shared" ref="I113:R113" si="120">-I85*I112</f>
        <v>-385.1</v>
      </c>
      <c r="J113" s="21">
        <f t="shared" si="120"/>
        <v>-411.95650930743176</v>
      </c>
      <c r="K113" s="21">
        <f t="shared" si="120"/>
        <v>-409.19821091613647</v>
      </c>
      <c r="L113" s="21">
        <f t="shared" si="120"/>
        <v>-405.5280151503315</v>
      </c>
      <c r="M113" s="21">
        <f t="shared" si="120"/>
        <v>-439.98834849068783</v>
      </c>
      <c r="N113" s="21">
        <f t="shared" si="120"/>
        <v>-434.81392298637655</v>
      </c>
      <c r="O113" s="21">
        <f t="shared" si="120"/>
        <v>-427.07330353864307</v>
      </c>
      <c r="P113" s="21">
        <f t="shared" si="120"/>
        <v>-418.30081779285933</v>
      </c>
      <c r="Q113" s="21">
        <f t="shared" si="120"/>
        <v>-412.55320089010985</v>
      </c>
      <c r="R113" s="21">
        <f t="shared" si="120"/>
        <v>-401.68986008202859</v>
      </c>
    </row>
    <row r="114" spans="2:22" outlineLevel="1" x14ac:dyDescent="0.45">
      <c r="C114" s="5" t="s">
        <v>74</v>
      </c>
      <c r="D114" s="88" t="s">
        <v>24</v>
      </c>
      <c r="E114" s="48">
        <v>3.700000000000081E-2</v>
      </c>
      <c r="F114" s="48">
        <v>-2.1880000000000002</v>
      </c>
      <c r="G114" s="48">
        <v>-3.3409999999999997</v>
      </c>
      <c r="H114" s="48">
        <v>-3.9000000000000004</v>
      </c>
      <c r="I114" s="21">
        <f t="shared" ref="I114:R114" si="121">-I86*I112</f>
        <v>-5.1935097231341603</v>
      </c>
      <c r="J114" s="21">
        <f t="shared" si="121"/>
        <v>-5.694369829504919</v>
      </c>
      <c r="K114" s="21">
        <f t="shared" si="121"/>
        <v>-6.3315638360344852</v>
      </c>
      <c r="L114" s="21">
        <f t="shared" si="121"/>
        <v>-6.9928350038269116</v>
      </c>
      <c r="M114" s="21">
        <f t="shared" si="121"/>
        <v>-7.4615066406219812</v>
      </c>
      <c r="N114" s="21">
        <f t="shared" si="121"/>
        <v>-8.0281887645330379</v>
      </c>
      <c r="O114" s="21">
        <f t="shared" si="121"/>
        <v>-8.6266488062407891</v>
      </c>
      <c r="P114" s="21">
        <f t="shared" si="121"/>
        <v>-9.2947075356086888</v>
      </c>
      <c r="Q114" s="21">
        <f t="shared" si="121"/>
        <v>-9.8829682123169604</v>
      </c>
      <c r="R114" s="21">
        <f t="shared" si="121"/>
        <v>-10.581253177093654</v>
      </c>
    </row>
    <row r="115" spans="2:22" outlineLevel="1" x14ac:dyDescent="0.45">
      <c r="C115" s="5" t="s">
        <v>75</v>
      </c>
      <c r="D115" s="88" t="s">
        <v>24</v>
      </c>
      <c r="E115" s="21">
        <f t="shared" ref="E115:R115" si="122">-E62</f>
        <v>-104.55799999999999</v>
      </c>
      <c r="F115" s="21">
        <f t="shared" si="122"/>
        <v>-162.40933333333334</v>
      </c>
      <c r="G115" s="21">
        <f t="shared" si="122"/>
        <v>-245.02666666666667</v>
      </c>
      <c r="H115" s="21">
        <f t="shared" si="122"/>
        <v>-277.952</v>
      </c>
      <c r="I115" s="21">
        <f t="shared" si="122"/>
        <v>-305.72693990957123</v>
      </c>
      <c r="J115" s="21">
        <f t="shared" si="122"/>
        <v>-331.33793496355236</v>
      </c>
      <c r="K115" s="21">
        <f t="shared" si="122"/>
        <v>-360.10338303094846</v>
      </c>
      <c r="L115" s="21">
        <f t="shared" si="122"/>
        <v>-387.6661996564622</v>
      </c>
      <c r="M115" s="21">
        <f t="shared" si="122"/>
        <v>-417.45883783109946</v>
      </c>
      <c r="N115" s="21">
        <f t="shared" si="122"/>
        <v>-447.09600231516572</v>
      </c>
      <c r="O115" s="21">
        <f t="shared" si="122"/>
        <v>-472.1526201616004</v>
      </c>
      <c r="P115" s="21">
        <f t="shared" si="122"/>
        <v>-497.34695754702358</v>
      </c>
      <c r="Q115" s="21">
        <f t="shared" si="122"/>
        <v>-525.3308365202156</v>
      </c>
      <c r="R115" s="21">
        <f t="shared" si="122"/>
        <v>-551.87162383428699</v>
      </c>
    </row>
    <row r="116" spans="2:22" outlineLevel="1" x14ac:dyDescent="0.45">
      <c r="C116" s="5" t="s">
        <v>218</v>
      </c>
      <c r="D116" s="88" t="s">
        <v>24</v>
      </c>
      <c r="E116" s="48">
        <v>177.92599999999999</v>
      </c>
      <c r="F116" s="48">
        <v>133.965</v>
      </c>
      <c r="G116" s="48">
        <v>102.08200000000001</v>
      </c>
      <c r="H116" s="48">
        <v>52.569999999999993</v>
      </c>
      <c r="I116" s="21">
        <f t="shared" ref="I116:R116" si="123">I88*I112</f>
        <v>50.634033046684763</v>
      </c>
      <c r="J116" s="21">
        <f t="shared" si="123"/>
        <v>48.715402498079996</v>
      </c>
      <c r="K116" s="21">
        <f t="shared" si="123"/>
        <v>44.933084172862088</v>
      </c>
      <c r="L116" s="21">
        <f t="shared" si="123"/>
        <v>40.404597423699862</v>
      </c>
      <c r="M116" s="21">
        <f t="shared" si="123"/>
        <v>37.466603153539914</v>
      </c>
      <c r="N116" s="21">
        <f t="shared" si="123"/>
        <v>31.943374481274329</v>
      </c>
      <c r="O116" s="21">
        <f t="shared" si="123"/>
        <v>31.471752736826325</v>
      </c>
      <c r="P116" s="21">
        <f t="shared" si="123"/>
        <v>30.72464914096993</v>
      </c>
      <c r="Q116" s="21">
        <f t="shared" si="123"/>
        <v>30.396271983576433</v>
      </c>
      <c r="R116" s="21">
        <f t="shared" si="123"/>
        <v>29.450899002163325</v>
      </c>
    </row>
    <row r="117" spans="2:22" outlineLevel="1" x14ac:dyDescent="0.45">
      <c r="C117" s="28" t="s">
        <v>215</v>
      </c>
      <c r="D117" s="89" t="s">
        <v>24</v>
      </c>
      <c r="E117" s="54">
        <f t="shared" ref="E117:R117" si="124">SUM(E112:E116)</f>
        <v>1418.2820000000002</v>
      </c>
      <c r="F117" s="54">
        <f t="shared" si="124"/>
        <v>1546.2496666666666</v>
      </c>
      <c r="G117" s="54">
        <f t="shared" si="124"/>
        <v>1403.8953333333336</v>
      </c>
      <c r="H117" s="54">
        <f t="shared" si="124"/>
        <v>1619.6529999999998</v>
      </c>
      <c r="I117" s="54">
        <f t="shared" si="124"/>
        <v>1801.2040375399054</v>
      </c>
      <c r="J117" s="54">
        <f t="shared" si="124"/>
        <v>1939.6447465525544</v>
      </c>
      <c r="K117" s="54">
        <f t="shared" si="124"/>
        <v>2110.7403506619398</v>
      </c>
      <c r="L117" s="54">
        <f t="shared" si="124"/>
        <v>2290.4259895805981</v>
      </c>
      <c r="M117" s="54">
        <f t="shared" si="124"/>
        <v>2415.5402587542499</v>
      </c>
      <c r="N117" s="54">
        <f t="shared" si="124"/>
        <v>2561.6728812070642</v>
      </c>
      <c r="O117" s="54">
        <f t="shared" si="124"/>
        <v>2724.6774939893676</v>
      </c>
      <c r="P117" s="54">
        <f t="shared" si="124"/>
        <v>2909.1618743729819</v>
      </c>
      <c r="Q117" s="54">
        <f t="shared" si="124"/>
        <v>3066.0426907640199</v>
      </c>
      <c r="R117" s="54">
        <f t="shared" si="124"/>
        <v>3256.430024115778</v>
      </c>
      <c r="U117" s="289">
        <f>(H117/E117)^(1/YEARFRAC(E$22,H$22,))-1</f>
        <v>4.5249085413077372E-2</v>
      </c>
      <c r="V117" s="289">
        <f>(R117/H117)^(1/YEARFRAC(R$22,H$22,))-1</f>
        <v>7.2338693517558283E-2</v>
      </c>
    </row>
    <row r="118" spans="2:22" outlineLevel="1" x14ac:dyDescent="0.45">
      <c r="H118" s="301"/>
    </row>
    <row r="119" spans="2:22" outlineLevel="1" x14ac:dyDescent="0.45">
      <c r="C119" s="1" t="s">
        <v>214</v>
      </c>
      <c r="D119" s="88" t="s">
        <v>24</v>
      </c>
      <c r="E119" s="50">
        <v>522.26900000000001</v>
      </c>
      <c r="F119" s="50">
        <v>719.20100000000002</v>
      </c>
      <c r="G119" s="50">
        <v>955.83399999999995</v>
      </c>
      <c r="H119" s="50">
        <v>1217.075</v>
      </c>
      <c r="I119" s="302">
        <f>I117/I120</f>
        <v>1266.0423230500708</v>
      </c>
      <c r="J119" s="302">
        <f t="shared" ref="J119:R119" si="125">J117/J120</f>
        <v>1305.3289287783787</v>
      </c>
      <c r="K119" s="302">
        <f t="shared" si="125"/>
        <v>1358.7462996159579</v>
      </c>
      <c r="L119" s="302">
        <f t="shared" si="125"/>
        <v>1493.3924841826758</v>
      </c>
      <c r="M119" s="302">
        <f t="shared" si="125"/>
        <v>1589.0359317097355</v>
      </c>
      <c r="N119" s="302">
        <f t="shared" si="125"/>
        <v>1703.1286788960138</v>
      </c>
      <c r="O119" s="302">
        <f t="shared" si="125"/>
        <v>1827.8415065693889</v>
      </c>
      <c r="P119" s="302">
        <f t="shared" si="125"/>
        <v>1966.8842238086709</v>
      </c>
      <c r="Q119" s="302">
        <f t="shared" si="125"/>
        <v>2089.5780865320439</v>
      </c>
      <c r="R119" s="302">
        <f t="shared" si="125"/>
        <v>2234.7822558556059</v>
      </c>
    </row>
    <row r="120" spans="2:22" outlineLevel="1" x14ac:dyDescent="0.45">
      <c r="C120" s="1" t="s">
        <v>223</v>
      </c>
      <c r="D120" s="17" t="s">
        <v>76</v>
      </c>
      <c r="E120" s="79">
        <f>E117/E119</f>
        <v>2.7156158990864863</v>
      </c>
      <c r="F120" s="79">
        <f>F117/F119</f>
        <v>2.1499548341376982</v>
      </c>
      <c r="G120" s="79">
        <f>G117/G119</f>
        <v>1.4687647994665745</v>
      </c>
      <c r="H120" s="79">
        <f>H117/H119</f>
        <v>1.3307750138652095</v>
      </c>
      <c r="I120" s="307">
        <v>1.4227044426133844</v>
      </c>
      <c r="J120" s="307">
        <v>1.4859432774295551</v>
      </c>
      <c r="K120" s="307">
        <v>1.5534469909934834</v>
      </c>
      <c r="L120" s="307">
        <v>1.533706653702716</v>
      </c>
      <c r="M120" s="307">
        <v>1.5201294134080598</v>
      </c>
      <c r="N120" s="307">
        <v>1.5040982592504801</v>
      </c>
      <c r="O120" s="307">
        <v>1.4906530375837774</v>
      </c>
      <c r="P120" s="307">
        <v>1.4790712331505138</v>
      </c>
      <c r="Q120" s="307">
        <v>1.467302280075381</v>
      </c>
      <c r="R120" s="307">
        <v>1.4571576338514578</v>
      </c>
    </row>
    <row r="122" spans="2:22" x14ac:dyDescent="0.45"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</row>
    <row r="123" spans="2:22" x14ac:dyDescent="0.45">
      <c r="B123" s="26" t="s">
        <v>150</v>
      </c>
      <c r="C123" s="26"/>
      <c r="D123" s="29"/>
      <c r="E123" s="26"/>
      <c r="F123" s="29"/>
      <c r="G123" s="26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</row>
    <row r="124" spans="2:22" outlineLevel="1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2:22" outlineLevel="1" x14ac:dyDescent="0.45">
      <c r="B125" s="1"/>
      <c r="C125" s="1" t="s">
        <v>94</v>
      </c>
      <c r="D125" s="281">
        <f>WACC</f>
        <v>9.1948551133335402E-2</v>
      </c>
      <c r="E125" s="1"/>
      <c r="F125" s="1"/>
      <c r="G125" s="1"/>
      <c r="H125" s="198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2:22" outlineLevel="1" x14ac:dyDescent="0.45">
      <c r="B126" s="1"/>
      <c r="C126" s="40"/>
      <c r="D126" s="1"/>
      <c r="E126" s="1"/>
      <c r="F126" s="17"/>
      <c r="G126" s="19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2:22" outlineLevel="1" x14ac:dyDescent="0.45">
      <c r="B127" s="1"/>
      <c r="C127" s="97" t="s">
        <v>87</v>
      </c>
      <c r="D127" s="98"/>
      <c r="E127" s="40"/>
      <c r="F127" s="97" t="s">
        <v>88</v>
      </c>
      <c r="G127" s="98"/>
      <c r="H127" s="98"/>
      <c r="I127" s="98"/>
      <c r="J127" s="1"/>
      <c r="K127" s="1"/>
      <c r="L127" s="1"/>
      <c r="M127" s="1"/>
      <c r="N127" s="1"/>
      <c r="O127" s="1"/>
      <c r="P127" s="1"/>
      <c r="Q127" s="1"/>
      <c r="R127" s="1"/>
    </row>
    <row r="128" spans="2:22" outlineLevel="1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2:18" outlineLevel="1" x14ac:dyDescent="0.45">
      <c r="B129" s="1"/>
      <c r="C129" s="1" t="s">
        <v>151</v>
      </c>
      <c r="D129" s="111">
        <f>Pub_Comps!O35</f>
        <v>8.529142150037007</v>
      </c>
      <c r="E129" s="1"/>
      <c r="F129" s="1" t="s">
        <v>89</v>
      </c>
      <c r="G129" s="1"/>
      <c r="H129" s="1"/>
      <c r="I129" s="33">
        <v>1.4999999999999999E-2</v>
      </c>
      <c r="J129" s="1"/>
      <c r="K129" s="1"/>
      <c r="L129" s="1"/>
      <c r="M129" s="1"/>
      <c r="N129" s="1"/>
      <c r="O129" s="1"/>
      <c r="P129" s="1"/>
      <c r="Q129" s="1"/>
      <c r="R129" s="1"/>
    </row>
    <row r="130" spans="2:18" outlineLevel="1" x14ac:dyDescent="0.45">
      <c r="B130" s="1"/>
      <c r="C130" s="1" t="s">
        <v>189</v>
      </c>
      <c r="D130" s="111">
        <f>Pub_Comps!O39</f>
        <v>9.0521602267561612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2:18" outlineLevel="1" x14ac:dyDescent="0.45">
      <c r="B131" s="1"/>
      <c r="C131" s="1"/>
      <c r="D131" s="7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2:18" outlineLevel="1" x14ac:dyDescent="0.45">
      <c r="B132" s="1"/>
      <c r="C132" s="1" t="s">
        <v>91</v>
      </c>
      <c r="D132" s="200">
        <v>8.5</v>
      </c>
      <c r="E132" s="47"/>
      <c r="F132" s="1" t="s">
        <v>92</v>
      </c>
      <c r="G132" s="1"/>
      <c r="H132" s="47"/>
      <c r="I132" s="33">
        <v>1.2150572535158506E-2</v>
      </c>
      <c r="J132" s="1"/>
      <c r="K132" s="1"/>
      <c r="L132" s="1"/>
      <c r="M132" s="1"/>
      <c r="N132" s="1"/>
      <c r="O132" s="1"/>
      <c r="P132" s="1"/>
      <c r="Q132" s="1"/>
      <c r="R132" s="1"/>
    </row>
    <row r="133" spans="2:18" outlineLevel="1" x14ac:dyDescent="0.45">
      <c r="B133" s="1"/>
      <c r="C133" s="1" t="s">
        <v>93</v>
      </c>
      <c r="D133" s="80">
        <f>D132*R191</f>
        <v>35624.535828759712</v>
      </c>
      <c r="E133" s="1"/>
      <c r="F133" s="1" t="s">
        <v>93</v>
      </c>
      <c r="G133" s="1"/>
      <c r="H133" s="1"/>
      <c r="I133" s="3">
        <f>R188*(1+I132)/($D$125-I132)</f>
        <v>35624.535828759712</v>
      </c>
      <c r="J133" s="1"/>
      <c r="K133" s="1"/>
      <c r="L133" s="1"/>
      <c r="M133" s="1"/>
      <c r="N133" s="1"/>
      <c r="O133" s="1"/>
      <c r="P133" s="1"/>
      <c r="Q133" s="1"/>
      <c r="R133" s="1"/>
    </row>
    <row r="134" spans="2:18" outlineLevel="1" x14ac:dyDescent="0.45">
      <c r="B134" s="1"/>
      <c r="C134" s="1" t="s">
        <v>95</v>
      </c>
      <c r="D134" s="309">
        <f>(D133*$D$125-R188)/(D133+R188)</f>
        <v>1.2150572535158506E-2</v>
      </c>
      <c r="E134" s="47"/>
      <c r="F134" s="1" t="s">
        <v>96</v>
      </c>
      <c r="G134" s="1"/>
      <c r="H134" s="1"/>
      <c r="I134" s="310">
        <f>I133/R191</f>
        <v>8.5</v>
      </c>
      <c r="J134" s="1"/>
      <c r="K134" s="1"/>
      <c r="L134" s="1"/>
      <c r="M134" s="1"/>
      <c r="N134" s="1"/>
      <c r="O134" s="1"/>
      <c r="P134" s="1"/>
      <c r="Q134" s="1"/>
      <c r="R134" s="1"/>
    </row>
    <row r="135" spans="2:18" outlineLevel="1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2:18" outlineLevel="1" x14ac:dyDescent="0.45">
      <c r="B136" s="1"/>
      <c r="C136" s="5" t="s">
        <v>97</v>
      </c>
      <c r="D136" s="71">
        <f>D133/((1+$D$125)^(YEAR($R$159)-YEAR($H$159)))</f>
        <v>14781.804377972911</v>
      </c>
      <c r="E136" s="1"/>
      <c r="F136" s="5" t="s">
        <v>97</v>
      </c>
      <c r="G136" s="1"/>
      <c r="H136" s="1"/>
      <c r="I136" s="71">
        <f>I133/((1+$D$125)^(YEAR($R$159)-YEAR($H$159)))</f>
        <v>14781.804377972911</v>
      </c>
      <c r="J136" s="1"/>
      <c r="K136" s="1"/>
      <c r="L136" s="1"/>
      <c r="M136" s="1"/>
      <c r="N136" s="1"/>
      <c r="O136" s="1"/>
      <c r="P136" s="1"/>
      <c r="Q136" s="1"/>
      <c r="R136" s="1"/>
    </row>
    <row r="137" spans="2:18" outlineLevel="1" x14ac:dyDescent="0.45">
      <c r="B137" s="1"/>
      <c r="C137" s="5" t="s">
        <v>98</v>
      </c>
      <c r="D137" s="71">
        <f>NPV($D$125,$I$188:$R$188)</f>
        <v>13494.382652898052</v>
      </c>
      <c r="E137" s="1"/>
      <c r="F137" s="5" t="s">
        <v>98</v>
      </c>
      <c r="G137" s="1"/>
      <c r="H137" s="1"/>
      <c r="I137" s="71">
        <f>NPV($D$125,$I$188:$R$188)</f>
        <v>13494.382652898052</v>
      </c>
      <c r="J137" s="1"/>
      <c r="K137" s="1"/>
      <c r="L137" s="1"/>
      <c r="M137" s="1"/>
      <c r="N137" s="1"/>
      <c r="O137" s="1"/>
      <c r="P137" s="1"/>
      <c r="Q137" s="1"/>
      <c r="R137" s="1"/>
    </row>
    <row r="138" spans="2:18" outlineLevel="1" x14ac:dyDescent="0.45">
      <c r="B138" s="1"/>
      <c r="C138" s="112" t="s">
        <v>99</v>
      </c>
      <c r="D138" s="105">
        <f>SUM(D136:D137)</f>
        <v>28276.187030870962</v>
      </c>
      <c r="E138" s="1"/>
      <c r="F138" s="112" t="s">
        <v>99</v>
      </c>
      <c r="G138" s="113"/>
      <c r="H138" s="113"/>
      <c r="I138" s="105">
        <f>SUM(I136:I137)</f>
        <v>28276.187030870962</v>
      </c>
      <c r="J138" s="1"/>
      <c r="K138" s="1"/>
      <c r="L138" s="1"/>
      <c r="M138" s="1"/>
      <c r="N138" s="1"/>
      <c r="O138" s="1"/>
      <c r="P138" s="1"/>
      <c r="Q138" s="1"/>
      <c r="R138" s="1"/>
    </row>
    <row r="139" spans="2:18" outlineLevel="1" x14ac:dyDescent="0.45">
      <c r="B139" s="1"/>
      <c r="C139" s="5"/>
      <c r="D139" s="71"/>
      <c r="E139" s="1"/>
      <c r="F139" s="5"/>
      <c r="G139" s="1"/>
      <c r="H139" s="1"/>
      <c r="I139" s="71"/>
      <c r="J139" s="1"/>
      <c r="K139" s="1"/>
      <c r="L139" s="1"/>
      <c r="M139" s="1"/>
      <c r="N139" s="1"/>
      <c r="O139" s="1"/>
      <c r="P139" s="1"/>
      <c r="Q139" s="1"/>
      <c r="R139" s="1"/>
    </row>
    <row r="140" spans="2:18" outlineLevel="1" x14ac:dyDescent="0.45">
      <c r="B140" s="1"/>
      <c r="C140" s="114" t="s">
        <v>100</v>
      </c>
      <c r="D140" s="36">
        <f>D136/D138</f>
        <v>0.52276512253348195</v>
      </c>
      <c r="E140" s="1"/>
      <c r="F140" s="114" t="s">
        <v>100</v>
      </c>
      <c r="G140" s="1"/>
      <c r="H140" s="1"/>
      <c r="I140" s="36">
        <f>I136/I138</f>
        <v>0.52276512253348195</v>
      </c>
      <c r="J140" s="1"/>
      <c r="K140" s="1"/>
      <c r="L140" s="1"/>
      <c r="M140" s="1"/>
      <c r="N140" s="1"/>
      <c r="O140" s="1"/>
      <c r="P140" s="1"/>
      <c r="Q140" s="1"/>
      <c r="R140" s="1"/>
    </row>
    <row r="141" spans="2:18" outlineLevel="1" x14ac:dyDescent="0.45">
      <c r="B141" s="1"/>
      <c r="C141" s="5"/>
      <c r="D141" s="71"/>
      <c r="E141" s="1"/>
      <c r="F141" s="5"/>
      <c r="G141" s="1"/>
      <c r="H141" s="1"/>
      <c r="I141" s="71"/>
      <c r="J141" s="1"/>
      <c r="K141" s="1"/>
      <c r="L141" s="1"/>
      <c r="M141" s="1"/>
      <c r="N141" s="1"/>
      <c r="O141" s="1"/>
      <c r="P141" s="1"/>
      <c r="Q141" s="1"/>
      <c r="R141" s="1"/>
    </row>
    <row r="142" spans="2:18" outlineLevel="1" x14ac:dyDescent="0.45">
      <c r="B142" s="1"/>
      <c r="C142" s="5" t="s">
        <v>101</v>
      </c>
      <c r="D142" s="71">
        <f>-$M$9</f>
        <v>1090.4639999999999</v>
      </c>
      <c r="E142" s="1"/>
      <c r="F142" s="5" t="str">
        <f>$C$142</f>
        <v>(+) Cash &amp; Investments:</v>
      </c>
      <c r="G142" s="1"/>
      <c r="H142" s="1"/>
      <c r="I142" s="71">
        <f>-$M$9</f>
        <v>1090.4639999999999</v>
      </c>
      <c r="J142" s="1"/>
      <c r="K142" s="1"/>
      <c r="L142" s="1"/>
      <c r="M142" s="1"/>
      <c r="N142" s="1"/>
      <c r="O142" s="1"/>
      <c r="P142" s="1"/>
      <c r="Q142" s="1"/>
      <c r="R142" s="1"/>
    </row>
    <row r="143" spans="2:18" outlineLevel="1" x14ac:dyDescent="0.45">
      <c r="B143" s="1"/>
      <c r="C143" s="5" t="s">
        <v>102</v>
      </c>
      <c r="D143" s="71">
        <f>-$M$10</f>
        <v>0</v>
      </c>
      <c r="E143" s="1"/>
      <c r="F143" s="5" t="str">
        <f>$C$143</f>
        <v>(+) Net Operating Losses:</v>
      </c>
      <c r="G143" s="1"/>
      <c r="H143" s="1"/>
      <c r="I143" s="71">
        <f>-$M$10</f>
        <v>0</v>
      </c>
      <c r="J143" s="1"/>
      <c r="K143" s="1"/>
      <c r="L143" s="1"/>
      <c r="M143" s="1"/>
      <c r="N143" s="1"/>
      <c r="O143" s="1"/>
      <c r="P143" s="1"/>
      <c r="Q143" s="1"/>
      <c r="R143" s="1"/>
    </row>
    <row r="144" spans="2:18" outlineLevel="1" x14ac:dyDescent="0.45">
      <c r="B144" s="1"/>
      <c r="C144" s="5" t="s">
        <v>152</v>
      </c>
      <c r="D144" s="71">
        <f>-$M$11</f>
        <v>541.43499999999995</v>
      </c>
      <c r="E144" s="1"/>
      <c r="F144" s="5" t="str">
        <f>$C$144</f>
        <v>(+) Equity Investments:</v>
      </c>
      <c r="G144" s="1"/>
      <c r="H144" s="1"/>
      <c r="I144" s="71">
        <f>-$M$11</f>
        <v>541.43499999999995</v>
      </c>
      <c r="J144" s="1"/>
      <c r="K144" s="1"/>
      <c r="L144" s="1"/>
      <c r="M144" s="1"/>
      <c r="N144" s="1"/>
      <c r="O144" s="1"/>
      <c r="P144" s="1"/>
      <c r="Q144" s="1"/>
      <c r="R144" s="1"/>
    </row>
    <row r="145" spans="2:18" outlineLevel="1" x14ac:dyDescent="0.45">
      <c r="B145" s="1"/>
      <c r="C145" s="5" t="s">
        <v>153</v>
      </c>
      <c r="D145" s="71">
        <f>-$M$12</f>
        <v>-7580.0780000000004</v>
      </c>
      <c r="E145" s="1"/>
      <c r="F145" s="5" t="str">
        <f>$C$145</f>
        <v>(-) Debt:</v>
      </c>
      <c r="G145" s="1"/>
      <c r="H145" s="1"/>
      <c r="I145" s="71">
        <f>-$M$12</f>
        <v>-7580.0780000000004</v>
      </c>
      <c r="J145" s="1"/>
      <c r="K145" s="1"/>
      <c r="L145" s="1"/>
      <c r="M145" s="1"/>
      <c r="N145" s="1"/>
      <c r="O145" s="1"/>
      <c r="P145" s="1"/>
      <c r="Q145" s="1"/>
      <c r="R145" s="1"/>
    </row>
    <row r="146" spans="2:18" outlineLevel="1" x14ac:dyDescent="0.45">
      <c r="B146" s="1"/>
      <c r="C146" s="5" t="s">
        <v>154</v>
      </c>
      <c r="D146" s="71">
        <f>-$M$13</f>
        <v>0</v>
      </c>
      <c r="E146" s="1"/>
      <c r="F146" s="5" t="str">
        <f>$C$146</f>
        <v>(-) Finance Leases:</v>
      </c>
      <c r="G146" s="1"/>
      <c r="H146" s="1"/>
      <c r="I146" s="71">
        <f>-$M$13</f>
        <v>0</v>
      </c>
      <c r="J146" s="1"/>
      <c r="K146" s="1"/>
      <c r="L146" s="1"/>
      <c r="M146" s="1"/>
      <c r="N146" s="1"/>
      <c r="O146" s="1"/>
      <c r="P146" s="1"/>
      <c r="Q146" s="1"/>
      <c r="R146" s="1"/>
    </row>
    <row r="147" spans="2:18" outlineLevel="1" x14ac:dyDescent="0.45">
      <c r="B147" s="1"/>
      <c r="C147" s="5" t="s">
        <v>200</v>
      </c>
      <c r="D147" s="71">
        <f>-$M$14</f>
        <v>-150.36799999999999</v>
      </c>
      <c r="E147" s="1"/>
      <c r="F147" s="5" t="str">
        <f>$C$147</f>
        <v>(-) Noncontrolling Interests:</v>
      </c>
      <c r="G147" s="1"/>
      <c r="H147" s="1"/>
      <c r="I147" s="71">
        <f>-$M$14</f>
        <v>-150.36799999999999</v>
      </c>
      <c r="J147" s="1"/>
      <c r="K147" s="1"/>
      <c r="L147" s="1"/>
      <c r="M147" s="1"/>
      <c r="N147" s="1"/>
      <c r="O147" s="1"/>
      <c r="P147" s="1"/>
      <c r="Q147" s="1"/>
      <c r="R147" s="1"/>
    </row>
    <row r="148" spans="2:18" outlineLevel="1" x14ac:dyDescent="0.45">
      <c r="B148" s="1"/>
      <c r="C148" s="5" t="s">
        <v>155</v>
      </c>
      <c r="D148" s="71">
        <f>-$M$15</f>
        <v>-383.02499999999998</v>
      </c>
      <c r="E148" s="1"/>
      <c r="F148" s="5" t="str">
        <f>$C$148</f>
        <v>(-) Asset Retirement Obligations:</v>
      </c>
      <c r="G148" s="1"/>
      <c r="H148" s="1"/>
      <c r="I148" s="71">
        <f>-$M$15</f>
        <v>-383.02499999999998</v>
      </c>
      <c r="J148" s="1"/>
      <c r="K148" s="1"/>
      <c r="L148" s="1"/>
      <c r="M148" s="1"/>
      <c r="N148" s="1"/>
      <c r="O148" s="1"/>
      <c r="P148" s="1"/>
      <c r="Q148" s="1"/>
      <c r="R148" s="1"/>
    </row>
    <row r="149" spans="2:18" outlineLevel="1" x14ac:dyDescent="0.45">
      <c r="B149" s="1"/>
      <c r="C149" s="5" t="s">
        <v>104</v>
      </c>
      <c r="D149" s="71">
        <f>-$M$16</f>
        <v>0</v>
      </c>
      <c r="E149" s="1"/>
      <c r="F149" s="5" t="str">
        <f>$C$149</f>
        <v>(-) Unfunded Pensions:</v>
      </c>
      <c r="G149" s="1"/>
      <c r="H149" s="1"/>
      <c r="I149" s="71">
        <f>-$M$16</f>
        <v>0</v>
      </c>
      <c r="J149" s="1"/>
      <c r="K149" s="1"/>
      <c r="L149" s="1"/>
      <c r="M149" s="1"/>
      <c r="N149" s="1"/>
      <c r="O149" s="1"/>
      <c r="P149" s="1"/>
      <c r="Q149" s="1"/>
      <c r="R149" s="1"/>
    </row>
    <row r="150" spans="2:18" outlineLevel="1" x14ac:dyDescent="0.45">
      <c r="B150" s="1"/>
      <c r="C150" s="5" t="s">
        <v>103</v>
      </c>
      <c r="D150" s="71">
        <f>-$M$17</f>
        <v>0</v>
      </c>
      <c r="E150" s="1"/>
      <c r="F150" s="5" t="str">
        <f>$C$150</f>
        <v>(-) Preferred Stock:</v>
      </c>
      <c r="G150" s="1"/>
      <c r="H150" s="1"/>
      <c r="I150" s="71">
        <f>-$M$17</f>
        <v>0</v>
      </c>
      <c r="J150" s="1"/>
      <c r="K150" s="1"/>
      <c r="L150" s="1"/>
      <c r="M150" s="1"/>
      <c r="N150" s="1"/>
      <c r="O150" s="1"/>
      <c r="P150" s="1"/>
      <c r="Q150" s="1"/>
      <c r="R150" s="1"/>
    </row>
    <row r="151" spans="2:18" outlineLevel="1" x14ac:dyDescent="0.45">
      <c r="B151" s="1"/>
      <c r="C151" s="112" t="s">
        <v>105</v>
      </c>
      <c r="D151" s="105">
        <f>D138+SUM(D142:D150)</f>
        <v>21794.615030870962</v>
      </c>
      <c r="E151" s="1"/>
      <c r="F151" s="112" t="str">
        <f>$C$151</f>
        <v>Implied Equity Value:</v>
      </c>
      <c r="G151" s="113"/>
      <c r="H151" s="113"/>
      <c r="I151" s="105">
        <f>I138+SUM(I142:I150)</f>
        <v>21794.615030870962</v>
      </c>
      <c r="J151" s="1"/>
      <c r="K151" s="1"/>
      <c r="L151" s="1"/>
      <c r="M151" s="1"/>
      <c r="N151" s="1"/>
      <c r="O151" s="1"/>
      <c r="P151" s="1"/>
      <c r="Q151" s="1"/>
      <c r="R151" s="1"/>
    </row>
    <row r="152" spans="2:18" outlineLevel="1" x14ac:dyDescent="0.45">
      <c r="B152" s="1"/>
      <c r="C152" s="5"/>
      <c r="D152" s="71"/>
      <c r="E152" s="1"/>
      <c r="F152" s="5"/>
      <c r="G152" s="1"/>
      <c r="H152" s="1"/>
      <c r="I152" s="71"/>
      <c r="J152" s="1"/>
      <c r="K152" s="1"/>
      <c r="L152" s="1"/>
      <c r="M152" s="1"/>
      <c r="N152" s="1"/>
      <c r="O152" s="1"/>
      <c r="P152" s="1"/>
      <c r="Q152" s="1"/>
      <c r="R152" s="1"/>
    </row>
    <row r="153" spans="2:18" outlineLevel="1" x14ac:dyDescent="0.45">
      <c r="B153" s="1"/>
      <c r="C153" s="1" t="s">
        <v>52</v>
      </c>
      <c r="D153" s="306">
        <f>Diluted_Shares</f>
        <v>382.45499999999998</v>
      </c>
      <c r="E153" s="1"/>
      <c r="F153" s="1" t="s">
        <v>90</v>
      </c>
      <c r="G153" s="1"/>
      <c r="H153" s="1"/>
      <c r="I153" s="306">
        <f>Diluted_Shares</f>
        <v>382.45499999999998</v>
      </c>
      <c r="J153" s="1"/>
      <c r="K153" s="1"/>
      <c r="L153" s="1"/>
      <c r="M153" s="1"/>
      <c r="N153" s="1"/>
      <c r="O153" s="1"/>
      <c r="P153" s="1"/>
      <c r="Q153" s="1"/>
      <c r="R153" s="1"/>
    </row>
    <row r="154" spans="2:18" outlineLevel="1" x14ac:dyDescent="0.45">
      <c r="B154" s="1"/>
      <c r="C154" s="5"/>
      <c r="D154" s="71"/>
      <c r="E154" s="1"/>
      <c r="F154" s="5"/>
      <c r="G154" s="1"/>
      <c r="H154" s="1"/>
      <c r="I154" s="71"/>
      <c r="J154" s="1"/>
      <c r="K154" s="1"/>
      <c r="L154" s="1"/>
      <c r="M154" s="1"/>
      <c r="N154" s="1"/>
      <c r="O154" s="1"/>
      <c r="P154" s="1"/>
      <c r="Q154" s="1"/>
      <c r="R154" s="1"/>
    </row>
    <row r="155" spans="2:18" outlineLevel="1" x14ac:dyDescent="0.45">
      <c r="B155" s="1"/>
      <c r="C155" s="115" t="s">
        <v>156</v>
      </c>
      <c r="D155" s="117">
        <f>D151/D153</f>
        <v>56.986089947499607</v>
      </c>
      <c r="E155" s="2"/>
      <c r="F155" s="115" t="s">
        <v>156</v>
      </c>
      <c r="G155" s="116"/>
      <c r="H155" s="116"/>
      <c r="I155" s="117">
        <f>I151/I153</f>
        <v>56.986089947499607</v>
      </c>
      <c r="J155" s="5"/>
      <c r="K155" s="1"/>
      <c r="L155" s="1"/>
      <c r="M155" s="71"/>
      <c r="N155" s="1"/>
      <c r="O155" s="5"/>
      <c r="P155" s="1"/>
      <c r="Q155" s="1"/>
      <c r="R155" s="71"/>
    </row>
    <row r="156" spans="2:18" outlineLevel="1" x14ac:dyDescent="0.45">
      <c r="B156" s="1"/>
      <c r="C156" s="118" t="s">
        <v>106</v>
      </c>
      <c r="D156" s="120">
        <f>D155/Share_Price-1</f>
        <v>0.39126196160887705</v>
      </c>
      <c r="E156" s="2"/>
      <c r="F156" s="118" t="s">
        <v>106</v>
      </c>
      <c r="G156" s="119"/>
      <c r="H156" s="119"/>
      <c r="I156" s="120">
        <f>I155/Share_Price-1</f>
        <v>0.39126196160887705</v>
      </c>
      <c r="J156" s="5"/>
      <c r="K156" s="1"/>
      <c r="L156" s="1"/>
      <c r="M156" s="71"/>
      <c r="N156" s="1"/>
      <c r="O156" s="5"/>
      <c r="P156" s="1"/>
      <c r="Q156" s="1"/>
      <c r="R156" s="71"/>
    </row>
    <row r="157" spans="2:18" x14ac:dyDescent="0.45">
      <c r="B157" s="1"/>
      <c r="C157" s="1"/>
      <c r="D157" s="1"/>
      <c r="E157" s="1"/>
      <c r="F157" s="1"/>
      <c r="G157" s="1"/>
      <c r="H157" s="1"/>
      <c r="I157" s="1"/>
      <c r="J157" s="5"/>
      <c r="K157" s="1"/>
      <c r="L157" s="1"/>
      <c r="M157" s="71"/>
      <c r="N157" s="1"/>
      <c r="O157" s="5"/>
      <c r="P157" s="1"/>
      <c r="Q157" s="1"/>
      <c r="R157" s="71"/>
    </row>
    <row r="158" spans="2:18" x14ac:dyDescent="0.45">
      <c r="B158" s="10"/>
      <c r="C158" s="10"/>
      <c r="D158" s="10"/>
      <c r="E158" s="22" t="str">
        <f>E21</f>
        <v>Historical:</v>
      </c>
      <c r="F158" s="22"/>
      <c r="G158" s="23"/>
      <c r="H158" s="24"/>
      <c r="I158" s="22" t="str">
        <f>I21</f>
        <v>Projected:</v>
      </c>
      <c r="J158" s="23"/>
      <c r="K158" s="23"/>
      <c r="L158" s="23"/>
      <c r="M158" s="23"/>
      <c r="N158" s="23"/>
      <c r="O158" s="23"/>
      <c r="P158" s="23"/>
      <c r="Q158" s="23"/>
      <c r="R158" s="23"/>
    </row>
    <row r="159" spans="2:18" x14ac:dyDescent="0.45">
      <c r="B159" s="26" t="s">
        <v>230</v>
      </c>
      <c r="C159" s="11"/>
      <c r="D159" s="29" t="str">
        <f>D22</f>
        <v>Units:</v>
      </c>
      <c r="E159" s="20">
        <f>E22</f>
        <v>44561</v>
      </c>
      <c r="F159" s="20">
        <f>F22</f>
        <v>44926</v>
      </c>
      <c r="G159" s="20">
        <f>G22</f>
        <v>45291</v>
      </c>
      <c r="H159" s="25">
        <f>H22</f>
        <v>45657</v>
      </c>
      <c r="I159" s="20">
        <f>I22</f>
        <v>46022</v>
      </c>
      <c r="J159" s="20">
        <f t="shared" ref="J159:R159" si="126">J22</f>
        <v>46387</v>
      </c>
      <c r="K159" s="20">
        <f t="shared" si="126"/>
        <v>46752</v>
      </c>
      <c r="L159" s="20">
        <f t="shared" si="126"/>
        <v>47118</v>
      </c>
      <c r="M159" s="20">
        <f t="shared" si="126"/>
        <v>47483</v>
      </c>
      <c r="N159" s="20">
        <f t="shared" si="126"/>
        <v>47848</v>
      </c>
      <c r="O159" s="20">
        <f t="shared" si="126"/>
        <v>48213</v>
      </c>
      <c r="P159" s="20">
        <f t="shared" si="126"/>
        <v>48579</v>
      </c>
      <c r="Q159" s="20">
        <f t="shared" si="126"/>
        <v>48944</v>
      </c>
      <c r="R159" s="20">
        <f t="shared" si="126"/>
        <v>49309</v>
      </c>
    </row>
    <row r="160" spans="2:18" outlineLevel="1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2:18" outlineLevel="1" x14ac:dyDescent="0.45">
      <c r="C161" s="2" t="s">
        <v>107</v>
      </c>
      <c r="D161" s="17" t="s">
        <v>24</v>
      </c>
      <c r="E161" s="47">
        <f>E93</f>
        <v>2877.1550000000002</v>
      </c>
      <c r="F161" s="47">
        <f t="shared" ref="F161:R161" si="127">F93</f>
        <v>3251.721</v>
      </c>
      <c r="G161" s="47">
        <f t="shared" si="127"/>
        <v>3106.4760000000001</v>
      </c>
      <c r="H161" s="47">
        <f t="shared" si="127"/>
        <v>3605.223</v>
      </c>
      <c r="I161" s="47">
        <f t="shared" si="127"/>
        <v>3885.1009650274154</v>
      </c>
      <c r="J161" s="47">
        <f t="shared" si="127"/>
        <v>4175.7870584601578</v>
      </c>
      <c r="K161" s="47">
        <f t="shared" si="127"/>
        <v>4484.2579906556384</v>
      </c>
      <c r="L161" s="47">
        <f t="shared" si="127"/>
        <v>4799.8286795511267</v>
      </c>
      <c r="M161" s="47">
        <f t="shared" si="127"/>
        <v>5104.7411691388461</v>
      </c>
      <c r="N161" s="47">
        <f t="shared" si="127"/>
        <v>5382.6093527174426</v>
      </c>
      <c r="O161" s="47">
        <f t="shared" si="127"/>
        <v>5671.5237979916528</v>
      </c>
      <c r="P161" s="47">
        <f t="shared" si="127"/>
        <v>5985.3503903425017</v>
      </c>
      <c r="Q161" s="47">
        <f t="shared" si="127"/>
        <v>6274.6647724061331</v>
      </c>
      <c r="R161" s="47">
        <f t="shared" si="127"/>
        <v>6596.2144789050581</v>
      </c>
    </row>
    <row r="162" spans="2:18" outlineLevel="1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2:18" outlineLevel="1" x14ac:dyDescent="0.45">
      <c r="B163" s="1"/>
      <c r="C163" s="5" t="s">
        <v>108</v>
      </c>
      <c r="D163" s="17" t="s">
        <v>24</v>
      </c>
      <c r="E163" s="303">
        <f t="shared" ref="E163:R163" si="128">E95</f>
        <v>-322.28500000000003</v>
      </c>
      <c r="F163" s="303">
        <f t="shared" si="128"/>
        <v>-420.9</v>
      </c>
      <c r="G163" s="303">
        <f t="shared" si="128"/>
        <v>-164.59800000000001</v>
      </c>
      <c r="H163" s="303">
        <f t="shared" si="128"/>
        <v>-172.251</v>
      </c>
      <c r="I163" s="303">
        <f t="shared" si="128"/>
        <v>-152.63720398175761</v>
      </c>
      <c r="J163" s="303">
        <f t="shared" si="128"/>
        <v>-164.93184334562264</v>
      </c>
      <c r="K163" s="303">
        <f t="shared" si="128"/>
        <v>-178.00214108126238</v>
      </c>
      <c r="L163" s="303">
        <f t="shared" si="128"/>
        <v>-191.32792158046854</v>
      </c>
      <c r="M163" s="303">
        <f t="shared" si="128"/>
        <v>-204.28240167245255</v>
      </c>
      <c r="N163" s="303">
        <f t="shared" si="128"/>
        <v>-216.06618262051148</v>
      </c>
      <c r="O163" s="303">
        <f t="shared" si="128"/>
        <v>-228.43359222608433</v>
      </c>
      <c r="P163" s="303">
        <f t="shared" si="128"/>
        <v>-241.82611306274868</v>
      </c>
      <c r="Q163" s="303">
        <f t="shared" si="128"/>
        <v>-254.24293197476436</v>
      </c>
      <c r="R163" s="303">
        <f t="shared" si="128"/>
        <v>-268.03095949284551</v>
      </c>
    </row>
    <row r="164" spans="2:18" outlineLevel="1" x14ac:dyDescent="0.45">
      <c r="B164" s="1"/>
      <c r="C164" s="5" t="s">
        <v>109</v>
      </c>
      <c r="D164" s="17" t="s">
        <v>24</v>
      </c>
      <c r="E164" s="81">
        <f t="shared" ref="E164:R164" si="129">SUM(E96:E99)</f>
        <v>-1392.7449999999999</v>
      </c>
      <c r="F164" s="81">
        <f t="shared" si="129"/>
        <v>-1509.5070000000001</v>
      </c>
      <c r="G164" s="81">
        <f t="shared" si="129"/>
        <v>-1652.288</v>
      </c>
      <c r="H164" s="81">
        <f t="shared" si="129"/>
        <v>-1865.19</v>
      </c>
      <c r="I164" s="81">
        <f t="shared" si="129"/>
        <v>-1975.3410033413297</v>
      </c>
      <c r="J164" s="81">
        <f t="shared" si="129"/>
        <v>-2093.6327737797192</v>
      </c>
      <c r="K164" s="81">
        <f t="shared" si="129"/>
        <v>-2222.2797989949595</v>
      </c>
      <c r="L164" s="81">
        <f t="shared" si="129"/>
        <v>-2352.2777790654063</v>
      </c>
      <c r="M164" s="81">
        <f t="shared" si="129"/>
        <v>-2485.0953383429373</v>
      </c>
      <c r="N164" s="81">
        <f t="shared" si="129"/>
        <v>-2605.6004449063839</v>
      </c>
      <c r="O164" s="81">
        <f t="shared" si="129"/>
        <v>-2730.68053957149</v>
      </c>
      <c r="P164" s="81">
        <f t="shared" si="129"/>
        <v>-2862.1642864040018</v>
      </c>
      <c r="Q164" s="81">
        <f t="shared" si="129"/>
        <v>-2988.3152300497331</v>
      </c>
      <c r="R164" s="81">
        <f t="shared" si="129"/>
        <v>-3121.1763926149474</v>
      </c>
    </row>
    <row r="165" spans="2:18" outlineLevel="1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2:18" outlineLevel="1" x14ac:dyDescent="0.45">
      <c r="B166" s="1"/>
      <c r="C166" s="2" t="s">
        <v>110</v>
      </c>
      <c r="D166" s="17" t="s">
        <v>24</v>
      </c>
      <c r="E166" s="64">
        <f t="shared" ref="E166:R166" si="130">E161+SUM(E163:E164)</f>
        <v>1162.1250000000002</v>
      </c>
      <c r="F166" s="64">
        <f t="shared" si="130"/>
        <v>1321.3139999999999</v>
      </c>
      <c r="G166" s="64">
        <f t="shared" si="130"/>
        <v>1289.5900000000001</v>
      </c>
      <c r="H166" s="64">
        <f t="shared" si="130"/>
        <v>1567.7819999999999</v>
      </c>
      <c r="I166" s="64">
        <f t="shared" si="130"/>
        <v>1757.1227577043283</v>
      </c>
      <c r="J166" s="64">
        <f t="shared" si="130"/>
        <v>1917.2224413348158</v>
      </c>
      <c r="K166" s="64">
        <f t="shared" si="130"/>
        <v>2083.9760505794166</v>
      </c>
      <c r="L166" s="64">
        <f t="shared" si="130"/>
        <v>2256.2229789052517</v>
      </c>
      <c r="M166" s="64">
        <f t="shared" si="130"/>
        <v>2415.3634291234562</v>
      </c>
      <c r="N166" s="64">
        <f t="shared" si="130"/>
        <v>2560.9427251905472</v>
      </c>
      <c r="O166" s="64">
        <f t="shared" si="130"/>
        <v>2712.4096661940785</v>
      </c>
      <c r="P166" s="64">
        <f t="shared" si="130"/>
        <v>2881.359990875751</v>
      </c>
      <c r="Q166" s="64">
        <f t="shared" si="130"/>
        <v>3032.1066103816356</v>
      </c>
      <c r="R166" s="64">
        <f t="shared" si="130"/>
        <v>3207.0071267972653</v>
      </c>
    </row>
    <row r="167" spans="2:18" outlineLevel="1" x14ac:dyDescent="0.45">
      <c r="B167" s="1"/>
      <c r="C167" s="35" t="s">
        <v>111</v>
      </c>
      <c r="D167" s="17" t="s">
        <v>6</v>
      </c>
      <c r="E167" s="36">
        <f t="shared" ref="E167:R167" si="131">E166/E161</f>
        <v>0.40391463094619517</v>
      </c>
      <c r="F167" s="36">
        <f t="shared" si="131"/>
        <v>0.40634297960987426</v>
      </c>
      <c r="G167" s="36">
        <f t="shared" si="131"/>
        <v>0.41512955516153999</v>
      </c>
      <c r="H167" s="36">
        <f t="shared" si="131"/>
        <v>0.43486408469046156</v>
      </c>
      <c r="I167" s="36">
        <f t="shared" si="131"/>
        <v>0.45227209627792236</v>
      </c>
      <c r="J167" s="36">
        <f t="shared" si="131"/>
        <v>0.45912840250091708</v>
      </c>
      <c r="K167" s="36">
        <f t="shared" si="131"/>
        <v>0.46473152412774554</v>
      </c>
      <c r="L167" s="36">
        <f t="shared" si="131"/>
        <v>0.47006323132271682</v>
      </c>
      <c r="M167" s="36">
        <f t="shared" si="131"/>
        <v>0.47316080269176908</v>
      </c>
      <c r="N167" s="36">
        <f t="shared" si="131"/>
        <v>0.47578090055850697</v>
      </c>
      <c r="O167" s="36">
        <f t="shared" si="131"/>
        <v>0.47825060121489249</v>
      </c>
      <c r="P167" s="36">
        <f t="shared" si="131"/>
        <v>0.48140205718363466</v>
      </c>
      <c r="Q167" s="36">
        <f t="shared" si="131"/>
        <v>0.48323005616424664</v>
      </c>
      <c r="R167" s="36">
        <f t="shared" si="131"/>
        <v>0.48618903115618733</v>
      </c>
    </row>
    <row r="168" spans="2:18" outlineLevel="1" x14ac:dyDescent="0.45">
      <c r="B168" s="1"/>
      <c r="C168" s="35" t="s">
        <v>112</v>
      </c>
      <c r="D168" s="17" t="s">
        <v>6</v>
      </c>
      <c r="E168" s="1"/>
      <c r="F168" s="36">
        <f t="shared" ref="F168:R168" si="132">F166/E166-1</f>
        <v>0.13698096160051598</v>
      </c>
      <c r="G168" s="36">
        <f t="shared" si="132"/>
        <v>-2.4009433034085537E-2</v>
      </c>
      <c r="H168" s="36">
        <f t="shared" si="132"/>
        <v>0.21572127575430922</v>
      </c>
      <c r="I168" s="36">
        <f t="shared" si="132"/>
        <v>0.12076982495291322</v>
      </c>
      <c r="J168" s="36">
        <f t="shared" si="132"/>
        <v>9.1114683324491796E-2</v>
      </c>
      <c r="K168" s="36">
        <f t="shared" si="132"/>
        <v>8.6976662514185232E-2</v>
      </c>
      <c r="L168" s="36">
        <f t="shared" si="132"/>
        <v>8.2653026784038408E-2</v>
      </c>
      <c r="M168" s="36">
        <f t="shared" si="132"/>
        <v>7.0534008254548253E-2</v>
      </c>
      <c r="N168" s="36">
        <f t="shared" si="132"/>
        <v>6.0272211755695304E-2</v>
      </c>
      <c r="O168" s="36">
        <f t="shared" si="132"/>
        <v>5.9144993565704018E-2</v>
      </c>
      <c r="P168" s="36">
        <f t="shared" si="132"/>
        <v>6.2287908344883514E-2</v>
      </c>
      <c r="Q168" s="36">
        <f t="shared" si="132"/>
        <v>5.2317870721897197E-2</v>
      </c>
      <c r="R168" s="36">
        <f t="shared" si="132"/>
        <v>5.7682838662990177E-2</v>
      </c>
    </row>
    <row r="169" spans="2:18" outlineLevel="1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2:18" outlineLevel="1" x14ac:dyDescent="0.45">
      <c r="B170" s="1"/>
      <c r="C170" s="5" t="s">
        <v>113</v>
      </c>
      <c r="D170" s="17" t="s">
        <v>24</v>
      </c>
      <c r="E170" s="81">
        <f t="shared" ref="E170:R170" si="133">-E166*Tax_Rate</f>
        <v>-11.621250000000002</v>
      </c>
      <c r="F170" s="81">
        <f t="shared" si="133"/>
        <v>-13.213139999999999</v>
      </c>
      <c r="G170" s="81">
        <f t="shared" si="133"/>
        <v>-12.895900000000001</v>
      </c>
      <c r="H170" s="81">
        <f t="shared" si="133"/>
        <v>-15.677819999999999</v>
      </c>
      <c r="I170" s="81">
        <f t="shared" si="133"/>
        <v>-17.571227577043285</v>
      </c>
      <c r="J170" s="81">
        <f t="shared" si="133"/>
        <v>-19.172224413348157</v>
      </c>
      <c r="K170" s="81">
        <f t="shared" si="133"/>
        <v>-20.839760505794167</v>
      </c>
      <c r="L170" s="81">
        <f t="shared" si="133"/>
        <v>-22.562229789052516</v>
      </c>
      <c r="M170" s="81">
        <f t="shared" si="133"/>
        <v>-24.153634291234564</v>
      </c>
      <c r="N170" s="81">
        <f t="shared" si="133"/>
        <v>-25.609427251905473</v>
      </c>
      <c r="O170" s="81">
        <f t="shared" si="133"/>
        <v>-27.124096661940786</v>
      </c>
      <c r="P170" s="81">
        <f t="shared" si="133"/>
        <v>-28.81359990875751</v>
      </c>
      <c r="Q170" s="81">
        <f t="shared" si="133"/>
        <v>-30.321066103816356</v>
      </c>
      <c r="R170" s="81">
        <f t="shared" si="133"/>
        <v>-32.070071267972651</v>
      </c>
    </row>
    <row r="171" spans="2:18" outlineLevel="1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2:18" outlineLevel="1" x14ac:dyDescent="0.45">
      <c r="B172" s="1"/>
      <c r="C172" s="2" t="s">
        <v>114</v>
      </c>
      <c r="D172" s="17" t="s">
        <v>24</v>
      </c>
      <c r="E172" s="64">
        <f t="shared" ref="E172:R172" si="134">E166+E170</f>
        <v>1150.5037500000003</v>
      </c>
      <c r="F172" s="64">
        <f t="shared" si="134"/>
        <v>1308.1008599999998</v>
      </c>
      <c r="G172" s="64">
        <f t="shared" si="134"/>
        <v>1276.6941000000002</v>
      </c>
      <c r="H172" s="64">
        <f t="shared" si="134"/>
        <v>1552.1041799999998</v>
      </c>
      <c r="I172" s="64">
        <f t="shared" si="134"/>
        <v>1739.5515301272849</v>
      </c>
      <c r="J172" s="64">
        <f t="shared" si="134"/>
        <v>1898.0502169214676</v>
      </c>
      <c r="K172" s="64">
        <f t="shared" si="134"/>
        <v>2063.1362900736226</v>
      </c>
      <c r="L172" s="64">
        <f t="shared" si="134"/>
        <v>2233.660749116199</v>
      </c>
      <c r="M172" s="64">
        <f t="shared" si="134"/>
        <v>2391.2097948322216</v>
      </c>
      <c r="N172" s="64">
        <f t="shared" si="134"/>
        <v>2535.3332979386419</v>
      </c>
      <c r="O172" s="64">
        <f t="shared" si="134"/>
        <v>2685.2855695321377</v>
      </c>
      <c r="P172" s="64">
        <f t="shared" si="134"/>
        <v>2852.5463909669934</v>
      </c>
      <c r="Q172" s="64">
        <f t="shared" si="134"/>
        <v>3001.7855442778191</v>
      </c>
      <c r="R172" s="64">
        <f t="shared" si="134"/>
        <v>3174.9370555292926</v>
      </c>
    </row>
    <row r="173" spans="2:18" outlineLevel="1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2:18" outlineLevel="1" x14ac:dyDescent="0.45">
      <c r="B174" s="1"/>
      <c r="C174" s="2" t="s">
        <v>115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2:18" outlineLevel="1" x14ac:dyDescent="0.45">
      <c r="B175" s="1"/>
      <c r="C175" s="5" t="s">
        <v>15</v>
      </c>
      <c r="D175" s="17" t="s">
        <v>24</v>
      </c>
      <c r="E175" s="303">
        <f>-E99</f>
        <v>551.62900000000002</v>
      </c>
      <c r="F175" s="303">
        <f t="shared" ref="F175:R175" si="135">-F99</f>
        <v>582.36500000000001</v>
      </c>
      <c r="G175" s="303">
        <f t="shared" si="135"/>
        <v>600.66800000000001</v>
      </c>
      <c r="H175" s="303">
        <f t="shared" si="135"/>
        <v>650.428</v>
      </c>
      <c r="I175" s="303">
        <f t="shared" si="135"/>
        <v>679.71968141050604</v>
      </c>
      <c r="J175" s="303">
        <f t="shared" si="135"/>
        <v>712.2183482020821</v>
      </c>
      <c r="K175" s="303">
        <f t="shared" si="135"/>
        <v>746.21302794912856</v>
      </c>
      <c r="L175" s="303">
        <f t="shared" si="135"/>
        <v>781.94232636128709</v>
      </c>
      <c r="M175" s="303">
        <f t="shared" si="135"/>
        <v>814.81073401734318</v>
      </c>
      <c r="N175" s="303">
        <f t="shared" si="135"/>
        <v>845.21951768670169</v>
      </c>
      <c r="O175" s="303">
        <f t="shared" si="135"/>
        <v>874.4183612438818</v>
      </c>
      <c r="P175" s="303">
        <f t="shared" si="135"/>
        <v>907.00201602477944</v>
      </c>
      <c r="Q175" s="303">
        <f t="shared" si="135"/>
        <v>935.5632009360819</v>
      </c>
      <c r="R175" s="303">
        <f t="shared" si="135"/>
        <v>967.56432955530136</v>
      </c>
    </row>
    <row r="176" spans="2:18" outlineLevel="1" x14ac:dyDescent="0.45">
      <c r="B176" s="1"/>
      <c r="C176" s="61" t="s">
        <v>116</v>
      </c>
      <c r="D176" s="17" t="s">
        <v>6</v>
      </c>
      <c r="E176" s="36">
        <f t="shared" ref="E176:R176" si="136">E175/E161</f>
        <v>0.19172724444807457</v>
      </c>
      <c r="F176" s="36">
        <f t="shared" si="136"/>
        <v>0.17909439339967975</v>
      </c>
      <c r="G176" s="36">
        <f t="shared" si="136"/>
        <v>0.19335993582438751</v>
      </c>
      <c r="H176" s="36">
        <f t="shared" si="136"/>
        <v>0.18041269569177829</v>
      </c>
      <c r="I176" s="36">
        <f t="shared" si="136"/>
        <v>0.17495547413803428</v>
      </c>
      <c r="J176" s="36">
        <f t="shared" si="136"/>
        <v>0.17055906784306099</v>
      </c>
      <c r="K176" s="36">
        <f t="shared" si="136"/>
        <v>0.16640724719766303</v>
      </c>
      <c r="L176" s="36">
        <f t="shared" si="136"/>
        <v>0.1629104658865477</v>
      </c>
      <c r="M176" s="36">
        <f t="shared" si="136"/>
        <v>0.15961842276026686</v>
      </c>
      <c r="N176" s="36">
        <f t="shared" si="136"/>
        <v>0.15702783952916582</v>
      </c>
      <c r="O176" s="36">
        <f t="shared" si="136"/>
        <v>0.15417697119661611</v>
      </c>
      <c r="P176" s="36">
        <f t="shared" si="136"/>
        <v>0.15153699564327056</v>
      </c>
      <c r="Q176" s="36">
        <f t="shared" si="136"/>
        <v>0.14910170262009445</v>
      </c>
      <c r="R176" s="36">
        <f t="shared" si="136"/>
        <v>0.14668478907858568</v>
      </c>
    </row>
    <row r="177" spans="2:18" outlineLevel="1" x14ac:dyDescent="0.45">
      <c r="B177" s="1"/>
      <c r="C177" s="1"/>
      <c r="D177" s="1"/>
      <c r="E177" s="1"/>
      <c r="F177" s="1"/>
      <c r="G177" s="48"/>
      <c r="H177" s="48"/>
      <c r="I177" s="48"/>
      <c r="J177" s="1"/>
      <c r="K177" s="1"/>
      <c r="L177" s="1"/>
      <c r="M177" s="1"/>
      <c r="N177" s="1"/>
      <c r="O177" s="1"/>
      <c r="P177" s="1"/>
      <c r="Q177" s="1"/>
      <c r="R177" s="1"/>
    </row>
    <row r="178" spans="2:18" outlineLevel="1" x14ac:dyDescent="0.45">
      <c r="B178" s="1"/>
      <c r="C178" s="5" t="s">
        <v>63</v>
      </c>
      <c r="D178" s="17" t="s">
        <v>24</v>
      </c>
      <c r="E178" s="304">
        <v>7.6349999999999998</v>
      </c>
      <c r="F178" s="304">
        <v>7.1420000000000003</v>
      </c>
      <c r="G178" s="304">
        <v>8.1509999999999998</v>
      </c>
      <c r="H178" s="304">
        <v>9.2379999999999995</v>
      </c>
      <c r="I178" s="303">
        <f t="shared" ref="I178:R178" si="137">I93*I83</f>
        <v>9.7480150110917059</v>
      </c>
      <c r="J178" s="303">
        <f t="shared" si="137"/>
        <v>10.477368618064951</v>
      </c>
      <c r="K178" s="303">
        <f t="shared" si="137"/>
        <v>11.251345743651898</v>
      </c>
      <c r="L178" s="303">
        <f t="shared" si="137"/>
        <v>12.043136700979582</v>
      </c>
      <c r="M178" s="303">
        <f t="shared" si="137"/>
        <v>12.808185422319431</v>
      </c>
      <c r="N178" s="303">
        <f t="shared" si="137"/>
        <v>13.505377914615401</v>
      </c>
      <c r="O178" s="303">
        <f t="shared" si="137"/>
        <v>14.230286321065106</v>
      </c>
      <c r="P178" s="303">
        <f t="shared" si="137"/>
        <v>15.017701206972516</v>
      </c>
      <c r="Q178" s="303">
        <f t="shared" si="137"/>
        <v>15.743613085368475</v>
      </c>
      <c r="R178" s="303">
        <f t="shared" si="137"/>
        <v>16.550405854457175</v>
      </c>
    </row>
    <row r="179" spans="2:18" outlineLevel="1" x14ac:dyDescent="0.45">
      <c r="B179" s="1"/>
      <c r="C179" s="1"/>
      <c r="D179" s="1"/>
      <c r="E179" s="1"/>
      <c r="F179" s="1"/>
      <c r="G179" s="48"/>
      <c r="H179" s="48"/>
      <c r="I179" s="48"/>
      <c r="J179" s="1"/>
      <c r="K179" s="1"/>
      <c r="L179" s="1"/>
      <c r="M179" s="1"/>
      <c r="N179" s="1"/>
      <c r="O179" s="1"/>
      <c r="P179" s="1"/>
      <c r="Q179" s="1"/>
      <c r="R179" s="1"/>
    </row>
    <row r="180" spans="2:18" outlineLevel="1" x14ac:dyDescent="0.45">
      <c r="B180" s="1"/>
      <c r="C180" s="5" t="s">
        <v>62</v>
      </c>
      <c r="D180" s="17" t="s">
        <v>24</v>
      </c>
      <c r="E180" s="81">
        <f t="shared" ref="E180:R180" si="138">-E82*E170</f>
        <v>11.577405169776691</v>
      </c>
      <c r="F180" s="81">
        <f t="shared" si="138"/>
        <v>6.3083512920945779</v>
      </c>
      <c r="G180" s="81">
        <f t="shared" si="138"/>
        <v>3.0703123375142534</v>
      </c>
      <c r="H180" s="81">
        <f t="shared" si="138"/>
        <v>12.301777926122245</v>
      </c>
      <c r="I180" s="81">
        <f t="shared" si="138"/>
        <v>10.96621613235582</v>
      </c>
      <c r="J180" s="81">
        <f t="shared" si="138"/>
        <v>11.965399442523353</v>
      </c>
      <c r="K180" s="81">
        <f t="shared" si="138"/>
        <v>13.006109951683129</v>
      </c>
      <c r="L180" s="81">
        <f t="shared" si="138"/>
        <v>14.081104305875741</v>
      </c>
      <c r="M180" s="81">
        <f t="shared" si="138"/>
        <v>15.074301033219538</v>
      </c>
      <c r="N180" s="81">
        <f t="shared" si="138"/>
        <v>15.98286249716284</v>
      </c>
      <c r="O180" s="81">
        <f t="shared" si="138"/>
        <v>16.928168796719067</v>
      </c>
      <c r="P180" s="81">
        <f t="shared" si="138"/>
        <v>17.982589023175819</v>
      </c>
      <c r="Q180" s="81">
        <f t="shared" si="138"/>
        <v>18.923399790935342</v>
      </c>
      <c r="R180" s="81">
        <f t="shared" si="138"/>
        <v>20.014955208031122</v>
      </c>
    </row>
    <row r="181" spans="2:18" outlineLevel="1" x14ac:dyDescent="0.45">
      <c r="B181" s="1"/>
      <c r="C181" s="1"/>
      <c r="D181" s="1"/>
      <c r="E181" s="1"/>
      <c r="F181" s="1"/>
      <c r="G181" s="48"/>
      <c r="H181" s="48"/>
      <c r="I181" s="48"/>
      <c r="J181" s="1"/>
      <c r="K181" s="1"/>
      <c r="L181" s="1"/>
      <c r="M181" s="1"/>
      <c r="N181" s="1"/>
      <c r="O181" s="1"/>
      <c r="P181" s="1"/>
      <c r="Q181" s="1"/>
      <c r="R181" s="1"/>
    </row>
    <row r="182" spans="2:18" outlineLevel="1" x14ac:dyDescent="0.45">
      <c r="B182" s="1"/>
      <c r="C182" s="5" t="s">
        <v>117</v>
      </c>
      <c r="D182" s="17" t="s">
        <v>24</v>
      </c>
      <c r="E182" s="304">
        <v>192.19299999999998</v>
      </c>
      <c r="F182" s="304">
        <v>-98.785000000000011</v>
      </c>
      <c r="G182" s="304">
        <v>-111.13000000000002</v>
      </c>
      <c r="H182" s="304">
        <v>92.171999999999997</v>
      </c>
      <c r="I182" s="81">
        <f t="shared" ref="I182:R182" si="139">I183*I161</f>
        <v>29.263640728328653</v>
      </c>
      <c r="J182" s="81">
        <f t="shared" si="139"/>
        <v>8.7379555831428206</v>
      </c>
      <c r="K182" s="81">
        <f t="shared" si="139"/>
        <v>11.247622375971048</v>
      </c>
      <c r="L182" s="81">
        <f t="shared" si="139"/>
        <v>8.7830763932548734</v>
      </c>
      <c r="M182" s="81">
        <f t="shared" si="139"/>
        <v>32.064110124154979</v>
      </c>
      <c r="N182" s="81">
        <f t="shared" si="139"/>
        <v>40.25111508685427</v>
      </c>
      <c r="O182" s="81">
        <f t="shared" si="139"/>
        <v>24.00604363133391</v>
      </c>
      <c r="P182" s="81">
        <f t="shared" si="139"/>
        <v>22.321090532694711</v>
      </c>
      <c r="Q182" s="81">
        <f t="shared" si="139"/>
        <v>25.18071112008499</v>
      </c>
      <c r="R182" s="81">
        <f t="shared" si="139"/>
        <v>22.580784543483446</v>
      </c>
    </row>
    <row r="183" spans="2:18" outlineLevel="1" x14ac:dyDescent="0.45">
      <c r="B183" s="1"/>
      <c r="C183" s="27" t="s">
        <v>118</v>
      </c>
      <c r="D183" s="17" t="s">
        <v>6</v>
      </c>
      <c r="E183" s="34">
        <f>E182/E161</f>
        <v>6.6799668422452024E-2</v>
      </c>
      <c r="F183" s="34">
        <f>F182/F161</f>
        <v>-3.03792976088662E-2</v>
      </c>
      <c r="G183" s="34">
        <f>G182/G161</f>
        <v>-3.5773654777954189E-2</v>
      </c>
      <c r="H183" s="34">
        <f>H182/H161</f>
        <v>2.5566240978713382E-2</v>
      </c>
      <c r="I183" s="305">
        <v>7.5322729040381972E-3</v>
      </c>
      <c r="J183" s="305">
        <v>2.0925290156833297E-3</v>
      </c>
      <c r="K183" s="305">
        <v>2.5082460463713295E-3</v>
      </c>
      <c r="L183" s="305">
        <v>1.8298728933125701E-3</v>
      </c>
      <c r="M183" s="305">
        <v>6.2812411171797164E-3</v>
      </c>
      <c r="N183" s="305">
        <v>7.477993004737238E-3</v>
      </c>
      <c r="O183" s="305">
        <v>4.232732592929383E-3</v>
      </c>
      <c r="P183" s="305">
        <v>3.7292871890525067E-3</v>
      </c>
      <c r="Q183" s="305">
        <v>4.0130767193844834E-3</v>
      </c>
      <c r="R183" s="305">
        <v>3.423294469228926E-3</v>
      </c>
    </row>
    <row r="184" spans="2:18" outlineLevel="1" x14ac:dyDescent="0.45">
      <c r="B184" s="1"/>
      <c r="C184" s="1"/>
      <c r="D184" s="1"/>
      <c r="E184" s="1"/>
      <c r="F184" s="1"/>
      <c r="G184" s="48"/>
      <c r="H184" s="48"/>
      <c r="I184" s="36"/>
      <c r="J184" s="1"/>
      <c r="K184" s="1"/>
      <c r="L184" s="1"/>
      <c r="M184" s="1"/>
      <c r="N184" s="1"/>
      <c r="O184" s="1"/>
      <c r="P184" s="1"/>
      <c r="Q184" s="1"/>
      <c r="R184" s="1"/>
    </row>
    <row r="185" spans="2:18" outlineLevel="1" x14ac:dyDescent="0.45">
      <c r="B185" s="1"/>
      <c r="C185" s="5" t="s">
        <v>119</v>
      </c>
      <c r="D185" s="17" t="s">
        <v>24</v>
      </c>
      <c r="E185" s="304">
        <v>-313.67399999999998</v>
      </c>
      <c r="F185" s="304">
        <v>-487.22800000000001</v>
      </c>
      <c r="G185" s="304">
        <v>-735.08</v>
      </c>
      <c r="H185" s="304">
        <v>-833.85599999999999</v>
      </c>
      <c r="I185" s="303">
        <f t="shared" ref="I185:R185" si="140">-I62-I66</f>
        <v>-758.70521209191361</v>
      </c>
      <c r="J185" s="303">
        <f t="shared" si="140"/>
        <v>-907.30747478881017</v>
      </c>
      <c r="K185" s="303">
        <f t="shared" si="140"/>
        <v>-1023.2251241272929</v>
      </c>
      <c r="L185" s="303">
        <f t="shared" si="140"/>
        <v>-1149.1323312557438</v>
      </c>
      <c r="M185" s="303">
        <f t="shared" si="140"/>
        <v>-1140.2748602073316</v>
      </c>
      <c r="N185" s="303">
        <f t="shared" si="140"/>
        <v>-1129.1399349416774</v>
      </c>
      <c r="O185" s="303">
        <f t="shared" si="140"/>
        <v>-1143.3225659769123</v>
      </c>
      <c r="P185" s="303">
        <f t="shared" si="140"/>
        <v>-1315.4230246426932</v>
      </c>
      <c r="Q185" s="303">
        <f t="shared" si="140"/>
        <v>-1213.5720840690806</v>
      </c>
      <c r="R185" s="303">
        <f t="shared" si="140"/>
        <v>-1393.0081594624221</v>
      </c>
    </row>
    <row r="186" spans="2:18" outlineLevel="1" x14ac:dyDescent="0.45">
      <c r="B186" s="1"/>
      <c r="C186" s="61" t="s">
        <v>118</v>
      </c>
      <c r="D186" s="17" t="s">
        <v>6</v>
      </c>
      <c r="E186" s="36">
        <f t="shared" ref="E186:R186" si="141">-E185/E161</f>
        <v>0.10902228069047373</v>
      </c>
      <c r="F186" s="36">
        <f t="shared" si="141"/>
        <v>0.14983696325730284</v>
      </c>
      <c r="G186" s="36">
        <f t="shared" si="141"/>
        <v>0.23662825658398778</v>
      </c>
      <c r="H186" s="36">
        <f t="shared" si="141"/>
        <v>0.23129110182643348</v>
      </c>
      <c r="I186" s="36">
        <f t="shared" si="141"/>
        <v>0.19528584171211102</v>
      </c>
      <c r="J186" s="36">
        <f t="shared" si="141"/>
        <v>0.21727819500532297</v>
      </c>
      <c r="K186" s="36">
        <f t="shared" si="141"/>
        <v>0.22818159130440405</v>
      </c>
      <c r="L186" s="36">
        <f t="shared" si="141"/>
        <v>0.23941111401567963</v>
      </c>
      <c r="M186" s="36">
        <f t="shared" si="141"/>
        <v>0.2233756467616736</v>
      </c>
      <c r="N186" s="36">
        <f t="shared" si="141"/>
        <v>0.20977556812136561</v>
      </c>
      <c r="O186" s="36">
        <f t="shared" si="141"/>
        <v>0.20159001472968782</v>
      </c>
      <c r="P186" s="36">
        <f t="shared" si="141"/>
        <v>0.21977377076622917</v>
      </c>
      <c r="Q186" s="36">
        <f t="shared" si="141"/>
        <v>0.19340827408118483</v>
      </c>
      <c r="R186" s="36">
        <f t="shared" si="141"/>
        <v>0.21118296924960742</v>
      </c>
    </row>
    <row r="187" spans="2:18" outlineLevel="1" x14ac:dyDescent="0.45">
      <c r="B187" s="1"/>
      <c r="C187" s="1"/>
      <c r="D187" s="1"/>
      <c r="E187" s="1"/>
      <c r="F187" s="1"/>
      <c r="G187" s="1"/>
      <c r="H187" s="1"/>
      <c r="I187" s="34"/>
      <c r="J187" s="1"/>
      <c r="K187" s="1"/>
      <c r="L187" s="1"/>
      <c r="M187" s="1"/>
      <c r="N187" s="1"/>
      <c r="O187" s="1"/>
      <c r="P187" s="1"/>
      <c r="Q187" s="1"/>
      <c r="R187" s="1"/>
    </row>
    <row r="188" spans="2:18" outlineLevel="1" x14ac:dyDescent="0.45">
      <c r="B188" s="1"/>
      <c r="C188" s="123" t="s">
        <v>120</v>
      </c>
      <c r="D188" s="124" t="s">
        <v>24</v>
      </c>
      <c r="E188" s="125">
        <f t="shared" ref="E188:R188" si="142">E172+E175+E178+E180+E182+E185</f>
        <v>1599.864155169777</v>
      </c>
      <c r="F188" s="125">
        <f t="shared" si="142"/>
        <v>1317.9032112920943</v>
      </c>
      <c r="G188" s="125">
        <f t="shared" si="142"/>
        <v>1042.3734123375143</v>
      </c>
      <c r="H188" s="125">
        <f t="shared" si="142"/>
        <v>1482.3879579261218</v>
      </c>
      <c r="I188" s="125">
        <f t="shared" si="142"/>
        <v>1710.5438713176534</v>
      </c>
      <c r="J188" s="125">
        <f t="shared" si="142"/>
        <v>1734.1418139784712</v>
      </c>
      <c r="K188" s="125">
        <f t="shared" si="142"/>
        <v>1821.6292719667645</v>
      </c>
      <c r="L188" s="125">
        <f t="shared" si="142"/>
        <v>1901.3780616218523</v>
      </c>
      <c r="M188" s="125">
        <f t="shared" si="142"/>
        <v>2125.6922652219273</v>
      </c>
      <c r="N188" s="125">
        <f t="shared" si="142"/>
        <v>2321.1522361822986</v>
      </c>
      <c r="O188" s="125">
        <f t="shared" si="142"/>
        <v>2471.5458635482255</v>
      </c>
      <c r="P188" s="125">
        <f t="shared" si="142"/>
        <v>2499.4467631119228</v>
      </c>
      <c r="Q188" s="125">
        <f t="shared" si="142"/>
        <v>2783.6243851412096</v>
      </c>
      <c r="R188" s="125">
        <f t="shared" si="142"/>
        <v>2808.6393712281438</v>
      </c>
    </row>
    <row r="189" spans="2:18" outlineLevel="1" x14ac:dyDescent="0.45">
      <c r="B189" s="1"/>
      <c r="C189" s="35" t="s">
        <v>112</v>
      </c>
      <c r="D189" s="17" t="s">
        <v>6</v>
      </c>
      <c r="E189" s="36"/>
      <c r="F189" s="36">
        <f t="shared" ref="F189:R189" si="143">F188/E188-1</f>
        <v>-0.1762405532785758</v>
      </c>
      <c r="G189" s="36">
        <f t="shared" si="143"/>
        <v>-0.20906679382353577</v>
      </c>
      <c r="H189" s="36">
        <f t="shared" si="143"/>
        <v>0.42212756041223098</v>
      </c>
      <c r="I189" s="36">
        <f t="shared" si="143"/>
        <v>0.15391106772799512</v>
      </c>
      <c r="J189" s="36">
        <f t="shared" si="143"/>
        <v>1.3795578737562542E-2</v>
      </c>
      <c r="K189" s="36">
        <f t="shared" si="143"/>
        <v>5.0450002002765393E-2</v>
      </c>
      <c r="L189" s="36">
        <f t="shared" si="143"/>
        <v>4.3778825297962731E-2</v>
      </c>
      <c r="M189" s="36">
        <f t="shared" si="143"/>
        <v>0.11797454074374758</v>
      </c>
      <c r="N189" s="36">
        <f t="shared" si="143"/>
        <v>9.1951207688082182E-2</v>
      </c>
      <c r="O189" s="36">
        <f t="shared" si="143"/>
        <v>6.479265987882199E-2</v>
      </c>
      <c r="P189" s="36">
        <f t="shared" si="143"/>
        <v>1.1288845566329808E-2</v>
      </c>
      <c r="Q189" s="36">
        <f t="shared" si="143"/>
        <v>0.11369620918649725</v>
      </c>
      <c r="R189" s="36">
        <f t="shared" si="143"/>
        <v>8.9864804391219799E-3</v>
      </c>
    </row>
    <row r="190" spans="2:18" outlineLevel="1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2:18" outlineLevel="1" x14ac:dyDescent="0.45">
      <c r="B191" s="1"/>
      <c r="C191" s="126" t="s">
        <v>16</v>
      </c>
      <c r="D191" s="127" t="s">
        <v>24</v>
      </c>
      <c r="E191" s="128">
        <f t="shared" ref="E191:R191" si="144">E166+E175+E178</f>
        <v>1721.3890000000004</v>
      </c>
      <c r="F191" s="128">
        <f t="shared" si="144"/>
        <v>1910.8209999999999</v>
      </c>
      <c r="G191" s="128">
        <f t="shared" si="144"/>
        <v>1898.4090000000003</v>
      </c>
      <c r="H191" s="128">
        <f t="shared" si="144"/>
        <v>2227.4479999999999</v>
      </c>
      <c r="I191" s="128">
        <f t="shared" si="144"/>
        <v>2446.590454125926</v>
      </c>
      <c r="J191" s="128">
        <f t="shared" si="144"/>
        <v>2639.9181581549628</v>
      </c>
      <c r="K191" s="128">
        <f t="shared" si="144"/>
        <v>2841.4404242721971</v>
      </c>
      <c r="L191" s="128">
        <f t="shared" si="144"/>
        <v>3050.2084419675184</v>
      </c>
      <c r="M191" s="128">
        <f t="shared" si="144"/>
        <v>3242.9823485631191</v>
      </c>
      <c r="N191" s="128">
        <f t="shared" si="144"/>
        <v>3419.6676207918645</v>
      </c>
      <c r="O191" s="128">
        <f t="shared" si="144"/>
        <v>3601.0583137590256</v>
      </c>
      <c r="P191" s="128">
        <f t="shared" si="144"/>
        <v>3803.3797081075031</v>
      </c>
      <c r="Q191" s="128">
        <f t="shared" si="144"/>
        <v>3983.4134244030861</v>
      </c>
      <c r="R191" s="128">
        <f t="shared" si="144"/>
        <v>4191.1218622070246</v>
      </c>
    </row>
    <row r="192" spans="2:18" outlineLevel="1" x14ac:dyDescent="0.45">
      <c r="B192" s="1"/>
      <c r="C192" s="35" t="s">
        <v>112</v>
      </c>
      <c r="D192" s="17" t="s">
        <v>6</v>
      </c>
      <c r="E192" s="1"/>
      <c r="F192" s="36">
        <f t="shared" ref="F192:R192" si="145">F191/E191-1</f>
        <v>0.11004601516565948</v>
      </c>
      <c r="G192" s="36">
        <f t="shared" si="145"/>
        <v>-6.4956372156259601E-3</v>
      </c>
      <c r="H192" s="36">
        <f t="shared" si="145"/>
        <v>0.17332355672565791</v>
      </c>
      <c r="I192" s="36">
        <f t="shared" si="145"/>
        <v>9.8382747487674838E-2</v>
      </c>
      <c r="J192" s="36">
        <f t="shared" si="145"/>
        <v>7.9019234176692432E-2</v>
      </c>
      <c r="K192" s="36">
        <f t="shared" si="145"/>
        <v>7.6336558197727555E-2</v>
      </c>
      <c r="L192" s="36">
        <f t="shared" si="145"/>
        <v>7.3472600696456558E-2</v>
      </c>
      <c r="M192" s="36">
        <f t="shared" si="145"/>
        <v>6.3200240332182966E-2</v>
      </c>
      <c r="N192" s="36">
        <f t="shared" si="145"/>
        <v>5.4482341634400244E-2</v>
      </c>
      <c r="O192" s="36">
        <f t="shared" si="145"/>
        <v>5.304336943868182E-2</v>
      </c>
      <c r="P192" s="36">
        <f t="shared" si="145"/>
        <v>5.6183870606994146E-2</v>
      </c>
      <c r="Q192" s="36">
        <f t="shared" si="145"/>
        <v>4.733519398860242E-2</v>
      </c>
      <c r="R192" s="36">
        <f t="shared" si="145"/>
        <v>5.2143329269184191E-2</v>
      </c>
    </row>
    <row r="193" spans="2:18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2:18" x14ac:dyDescent="0.45">
      <c r="B194" s="26" t="s">
        <v>121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</row>
    <row r="195" spans="2:18" outlineLevel="1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2:18" outlineLevel="1" x14ac:dyDescent="0.45">
      <c r="B196" s="1"/>
      <c r="C196" s="129"/>
      <c r="D196" s="130"/>
      <c r="E196" s="131" t="s">
        <v>94</v>
      </c>
      <c r="F196" s="132"/>
      <c r="G196" s="132"/>
      <c r="H196" s="132"/>
      <c r="I196" s="133"/>
      <c r="J196" s="2"/>
      <c r="K196" s="2"/>
      <c r="L196" s="2"/>
      <c r="M196" s="2"/>
      <c r="N196" s="2"/>
      <c r="O196" s="2"/>
      <c r="P196" s="1"/>
      <c r="Q196" s="1"/>
      <c r="R196" s="1"/>
    </row>
    <row r="197" spans="2:18" outlineLevel="1" x14ac:dyDescent="0.45">
      <c r="B197" s="1"/>
      <c r="C197" s="134"/>
      <c r="D197" s="135">
        <f>$D$155</f>
        <v>56.986089947499607</v>
      </c>
      <c r="E197" s="136">
        <v>8.1948551133335407E-2</v>
      </c>
      <c r="F197" s="137">
        <f>E197+0.5%</f>
        <v>8.6948551133335411E-2</v>
      </c>
      <c r="G197" s="138">
        <f>F197+0.5%</f>
        <v>9.1948551133335416E-2</v>
      </c>
      <c r="H197" s="137">
        <f>G197+0.5%</f>
        <v>9.694855113333542E-2</v>
      </c>
      <c r="I197" s="139">
        <f>H197+0.5%</f>
        <v>0.10194855113333542</v>
      </c>
      <c r="J197" s="201"/>
      <c r="K197" s="202"/>
      <c r="L197" s="201"/>
      <c r="M197" s="201"/>
      <c r="N197" s="201"/>
      <c r="O197" s="201"/>
      <c r="P197" s="1"/>
      <c r="Q197" s="1"/>
      <c r="R197" s="1"/>
    </row>
    <row r="198" spans="2:18" outlineLevel="1" x14ac:dyDescent="0.45">
      <c r="B198" s="1"/>
      <c r="C198" s="312" t="s">
        <v>122</v>
      </c>
      <c r="D198" s="140">
        <v>11</v>
      </c>
      <c r="E198" s="141">
        <f t="dataTable" ref="E198:I202" dt2D="1" dtr="1" r1="D125" r2="D132" ca="1"/>
        <v>74.944827773578226</v>
      </c>
      <c r="F198" s="141">
        <v>71.572256450226689</v>
      </c>
      <c r="G198" s="142">
        <v>68.35367442915944</v>
      </c>
      <c r="H198" s="141">
        <v>65.281160643611372</v>
      </c>
      <c r="I198" s="141">
        <v>62.347240384352368</v>
      </c>
      <c r="J198" s="141"/>
      <c r="K198" s="142"/>
      <c r="L198" s="141"/>
      <c r="M198" s="141"/>
      <c r="N198" s="141"/>
      <c r="O198" s="141"/>
      <c r="P198" s="1"/>
      <c r="Q198" s="1"/>
      <c r="R198" s="1"/>
    </row>
    <row r="199" spans="2:18" outlineLevel="1" x14ac:dyDescent="0.45">
      <c r="B199" s="1"/>
      <c r="C199" s="313"/>
      <c r="D199" s="143">
        <f>D198-1.25</f>
        <v>9.75</v>
      </c>
      <c r="E199" s="144">
        <v>68.713309656895106</v>
      </c>
      <c r="F199" s="144">
        <v>65.6215287353468</v>
      </c>
      <c r="G199" s="145">
        <v>62.669882188329524</v>
      </c>
      <c r="H199" s="144">
        <v>59.851191394590074</v>
      </c>
      <c r="I199" s="144">
        <v>57.158681181694782</v>
      </c>
      <c r="J199" s="144"/>
      <c r="K199" s="145"/>
      <c r="L199" s="144"/>
      <c r="M199" s="144"/>
      <c r="N199" s="144"/>
      <c r="O199" s="144"/>
      <c r="P199" s="1"/>
      <c r="Q199" s="1"/>
      <c r="R199" s="1"/>
    </row>
    <row r="200" spans="2:18" outlineLevel="1" x14ac:dyDescent="0.45">
      <c r="B200" s="1"/>
      <c r="C200" s="313"/>
      <c r="D200" s="146">
        <f>D199-1.25</f>
        <v>8.5</v>
      </c>
      <c r="E200" s="145">
        <v>62.481791540211987</v>
      </c>
      <c r="F200" s="145">
        <v>59.670801020466939</v>
      </c>
      <c r="G200" s="145">
        <v>56.986089947499607</v>
      </c>
      <c r="H200" s="145">
        <v>54.421222145568791</v>
      </c>
      <c r="I200" s="145">
        <v>51.970121979037216</v>
      </c>
      <c r="J200" s="144"/>
      <c r="K200" s="145"/>
      <c r="L200" s="144"/>
      <c r="M200" s="144"/>
      <c r="N200" s="144"/>
      <c r="O200" s="144"/>
      <c r="P200" s="1"/>
      <c r="Q200" s="1"/>
      <c r="R200" s="1"/>
    </row>
    <row r="201" spans="2:18" outlineLevel="1" x14ac:dyDescent="0.45">
      <c r="B201" s="1"/>
      <c r="C201" s="313"/>
      <c r="D201" s="143">
        <f>D200-1.25</f>
        <v>7.25</v>
      </c>
      <c r="E201" s="144">
        <v>56.250273423528867</v>
      </c>
      <c r="F201" s="144">
        <v>53.720073305587064</v>
      </c>
      <c r="G201" s="145">
        <v>51.302297706669698</v>
      </c>
      <c r="H201" s="144">
        <v>48.9912528965475</v>
      </c>
      <c r="I201" s="144">
        <v>46.78156277637963</v>
      </c>
      <c r="J201" s="144"/>
      <c r="K201" s="145"/>
      <c r="L201" s="144"/>
      <c r="M201" s="144"/>
      <c r="N201" s="144"/>
      <c r="O201" s="144"/>
      <c r="P201" s="1"/>
      <c r="Q201" s="1"/>
      <c r="R201" s="1"/>
    </row>
    <row r="202" spans="2:18" outlineLevel="1" x14ac:dyDescent="0.45">
      <c r="B202" s="1"/>
      <c r="C202" s="314"/>
      <c r="D202" s="147">
        <f>D201-1.25</f>
        <v>6</v>
      </c>
      <c r="E202" s="144">
        <v>50.01875530684574</v>
      </c>
      <c r="F202" s="144">
        <v>47.769345590707189</v>
      </c>
      <c r="G202" s="145">
        <v>45.618505465839782</v>
      </c>
      <c r="H202" s="144">
        <v>43.561283647526224</v>
      </c>
      <c r="I202" s="144">
        <v>41.593003573722044</v>
      </c>
      <c r="J202" s="144"/>
      <c r="K202" s="145"/>
      <c r="L202" s="144"/>
      <c r="M202" s="144"/>
      <c r="N202" s="144"/>
      <c r="O202" s="144"/>
      <c r="P202" s="1"/>
      <c r="Q202" s="1"/>
      <c r="R202" s="1"/>
    </row>
    <row r="203" spans="2:18" outlineLevel="1" x14ac:dyDescent="0.45">
      <c r="B203" s="1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1"/>
      <c r="Q203" s="1"/>
      <c r="R203" s="1"/>
    </row>
    <row r="204" spans="2:18" outlineLevel="1" x14ac:dyDescent="0.45">
      <c r="B204" s="1"/>
      <c r="C204" s="129"/>
      <c r="D204" s="130"/>
      <c r="E204" s="131" t="str">
        <f>E196</f>
        <v>Discount Rate (WACC):</v>
      </c>
      <c r="F204" s="132"/>
      <c r="G204" s="132"/>
      <c r="H204" s="132"/>
      <c r="I204" s="133"/>
      <c r="J204" s="2"/>
      <c r="K204" s="2"/>
      <c r="L204" s="2"/>
      <c r="M204" s="2"/>
      <c r="N204" s="2"/>
      <c r="O204" s="2"/>
      <c r="P204" s="1"/>
      <c r="Q204" s="1"/>
      <c r="R204" s="1"/>
    </row>
    <row r="205" spans="2:18" outlineLevel="1" x14ac:dyDescent="0.45">
      <c r="B205" s="1"/>
      <c r="C205" s="134"/>
      <c r="D205" s="135">
        <f>$I$155</f>
        <v>56.986089947499607</v>
      </c>
      <c r="E205" s="137">
        <f>E197</f>
        <v>8.1948551133335407E-2</v>
      </c>
      <c r="F205" s="137">
        <f>F197</f>
        <v>8.6948551133335411E-2</v>
      </c>
      <c r="G205" s="138">
        <f>G197</f>
        <v>9.1948551133335416E-2</v>
      </c>
      <c r="H205" s="137">
        <f>H197</f>
        <v>9.694855113333542E-2</v>
      </c>
      <c r="I205" s="139">
        <f>I197</f>
        <v>0.10194855113333542</v>
      </c>
      <c r="J205" s="201"/>
      <c r="K205" s="202"/>
      <c r="L205" s="201"/>
      <c r="M205" s="201"/>
      <c r="N205" s="201"/>
      <c r="O205" s="201"/>
      <c r="P205" s="1"/>
      <c r="Q205" s="1"/>
      <c r="R205" s="1"/>
    </row>
    <row r="206" spans="2:18" outlineLevel="1" x14ac:dyDescent="0.45">
      <c r="B206" s="1"/>
      <c r="C206" s="312" t="s">
        <v>123</v>
      </c>
      <c r="D206" s="148">
        <v>0.03</v>
      </c>
      <c r="E206" s="141">
        <f t="dataTable" ref="E206:I210" dt2D="1" dtr="1" r1="D125" r2="I132"/>
        <v>86.346400883194477</v>
      </c>
      <c r="F206" s="141">
        <v>76.906448941959866</v>
      </c>
      <c r="G206" s="142">
        <v>69.000357400259688</v>
      </c>
      <c r="H206" s="141">
        <v>62.284133955767899</v>
      </c>
      <c r="I206" s="141">
        <v>56.509420426059428</v>
      </c>
      <c r="J206" s="141"/>
      <c r="K206" s="142"/>
      <c r="L206" s="141"/>
      <c r="M206" s="141"/>
      <c r="N206" s="141"/>
      <c r="O206" s="141"/>
      <c r="P206" s="1"/>
      <c r="Q206" s="1"/>
      <c r="R206" s="1"/>
    </row>
    <row r="207" spans="2:18" outlineLevel="1" x14ac:dyDescent="0.45">
      <c r="B207" s="1"/>
      <c r="C207" s="315"/>
      <c r="D207" s="149">
        <f>D206-1%</f>
        <v>1.9999999999999997E-2</v>
      </c>
      <c r="E207" s="144">
        <v>75.11454411598001</v>
      </c>
      <c r="F207" s="144">
        <v>67.811277652010148</v>
      </c>
      <c r="G207" s="145">
        <v>61.535133414686321</v>
      </c>
      <c r="H207" s="144">
        <v>56.085475933388445</v>
      </c>
      <c r="I207" s="144">
        <v>51.310652388753653</v>
      </c>
      <c r="J207" s="144"/>
      <c r="K207" s="145"/>
      <c r="L207" s="144"/>
      <c r="M207" s="144"/>
      <c r="N207" s="144"/>
      <c r="O207" s="144"/>
      <c r="P207" s="1"/>
      <c r="Q207" s="1"/>
      <c r="R207" s="1"/>
    </row>
    <row r="208" spans="2:18" outlineLevel="1" x14ac:dyDescent="0.45">
      <c r="B208" s="1"/>
      <c r="C208" s="315"/>
      <c r="D208" s="150">
        <f>D207-1%</f>
        <v>9.9999999999999967E-3</v>
      </c>
      <c r="E208" s="145">
        <v>67.004878578551256</v>
      </c>
      <c r="F208" s="145">
        <v>61.080068036709719</v>
      </c>
      <c r="G208" s="145">
        <v>55.891838891520905</v>
      </c>
      <c r="H208" s="145">
        <v>51.312639949808428</v>
      </c>
      <c r="I208" s="145">
        <v>47.24268368938786</v>
      </c>
      <c r="J208" s="144"/>
      <c r="K208" s="145"/>
      <c r="L208" s="144"/>
      <c r="M208" s="144"/>
      <c r="N208" s="144"/>
      <c r="O208" s="144"/>
      <c r="P208" s="1"/>
      <c r="Q208" s="1"/>
      <c r="R208" s="1"/>
    </row>
    <row r="209" spans="2:18" outlineLevel="1" x14ac:dyDescent="0.45">
      <c r="B209" s="1"/>
      <c r="C209" s="315"/>
      <c r="D209" s="149">
        <f>D208-1%</f>
        <v>0</v>
      </c>
      <c r="E209" s="144">
        <v>60.874422050988677</v>
      </c>
      <c r="F209" s="144">
        <v>55.897178554996813</v>
      </c>
      <c r="G209" s="145">
        <v>51.476033970661895</v>
      </c>
      <c r="H209" s="144">
        <v>47.52441609870182</v>
      </c>
      <c r="I209" s="144">
        <v>43.972758445106663</v>
      </c>
      <c r="J209" s="144"/>
      <c r="K209" s="145"/>
      <c r="L209" s="144"/>
      <c r="M209" s="144"/>
      <c r="N209" s="144"/>
      <c r="O209" s="144"/>
      <c r="P209" s="1"/>
      <c r="Q209" s="1"/>
      <c r="R209" s="1"/>
    </row>
    <row r="210" spans="2:18" outlineLevel="1" x14ac:dyDescent="0.45">
      <c r="B210" s="1"/>
      <c r="C210" s="316"/>
      <c r="D210" s="203">
        <f>D209-1%</f>
        <v>-0.01</v>
      </c>
      <c r="E210" s="144">
        <v>56.077419167230168</v>
      </c>
      <c r="F210" s="144">
        <v>51.783493186419093</v>
      </c>
      <c r="G210" s="145">
        <v>47.926510104662356</v>
      </c>
      <c r="H210" s="144">
        <v>44.444612101994871</v>
      </c>
      <c r="I210" s="144">
        <v>41.287016776437191</v>
      </c>
      <c r="J210" s="144"/>
      <c r="K210" s="145"/>
      <c r="L210" s="144"/>
      <c r="M210" s="144"/>
      <c r="N210" s="144"/>
      <c r="O210" s="144"/>
      <c r="P210" s="1"/>
      <c r="Q210" s="1"/>
      <c r="R210" s="1"/>
    </row>
  </sheetData>
  <mergeCells count="2">
    <mergeCell ref="C198:C202"/>
    <mergeCell ref="C206:C210"/>
  </mergeCells>
  <dataValidations disablePrompts="1" count="1">
    <dataValidation type="whole" showInputMessage="1" showErrorMessage="1" sqref="F6 G123 G159" xr:uid="{00000000-0002-0000-0000-000000000000}">
      <formula1>0</formula1>
      <formula2>1</formula2>
    </dataValidation>
  </dataValidations>
  <pageMargins left="0.75" right="0.75" top="1" bottom="1" header="0.5" footer="0.5"/>
  <pageSetup scale="35" orientation="portrait" horizontalDpi="200" verticalDpi="200" r:id="rId1"/>
  <headerFooter alignWithMargins="0"/>
  <rowBreaks count="3" manualBreakCount="3">
    <brk id="60" max="18" man="1"/>
    <brk id="121" max="18" man="1"/>
    <brk id="1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4743C-4D03-44C4-9B28-4E62B86F6A75}">
  <sheetPr>
    <pageSetUpPr autoPageBreaks="0"/>
  </sheetPr>
  <dimension ref="A1:AA39"/>
  <sheetViews>
    <sheetView showGridLines="0" zoomScaleNormal="100" workbookViewId="0">
      <selection activeCell="B2" sqref="B2"/>
    </sheetView>
  </sheetViews>
  <sheetFormatPr defaultColWidth="9.23046875" defaultRowHeight="15.9" outlineLevelRow="1" outlineLevelCol="1" x14ac:dyDescent="0.45"/>
  <cols>
    <col min="1" max="1" width="2.53515625" style="40" customWidth="1"/>
    <col min="2" max="2" width="33.3828125" style="40" bestFit="1" customWidth="1"/>
    <col min="3" max="3" width="15.3828125" style="40" hidden="1" customWidth="1" outlineLevel="1"/>
    <col min="4" max="7" width="12.69140625" style="40" hidden="1" customWidth="1" outlineLevel="1"/>
    <col min="8" max="8" width="12.69140625" style="40" customWidth="1" collapsed="1"/>
    <col min="9" max="12" width="12.69140625" style="40" hidden="1" customWidth="1" outlineLevel="1"/>
    <col min="13" max="13" width="12.69140625" style="40" customWidth="1" collapsed="1"/>
    <col min="14" max="19" width="12.69140625" style="40" customWidth="1"/>
    <col min="20" max="20" width="12.69140625" customWidth="1"/>
    <col min="21" max="27" width="12.69140625" style="40" customWidth="1"/>
    <col min="28" max="28" width="2.53515625" style="40" customWidth="1"/>
    <col min="29" max="16384" width="9.23046875" style="40"/>
  </cols>
  <sheetData>
    <row r="1" spans="1:27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V1" s="1"/>
      <c r="W1" s="1"/>
      <c r="X1" s="1"/>
      <c r="Y1" s="1"/>
      <c r="Z1" s="1"/>
      <c r="AA1" s="1"/>
    </row>
    <row r="2" spans="1:27" ht="17.899999999999999" customHeight="1" x14ac:dyDescent="0.5">
      <c r="A2" s="1"/>
      <c r="B2" s="204" t="s">
        <v>213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O2" s="1"/>
      <c r="P2" s="1"/>
      <c r="Q2" s="1"/>
      <c r="R2" s="1"/>
      <c r="S2" s="1"/>
      <c r="U2" s="1"/>
      <c r="V2" s="1"/>
      <c r="W2" s="1"/>
      <c r="X2" s="1"/>
      <c r="Y2" s="1"/>
      <c r="Z2" s="1"/>
      <c r="AA2" s="1"/>
    </row>
    <row r="3" spans="1:27" x14ac:dyDescent="0.45">
      <c r="A3" s="1"/>
      <c r="B3" s="40" t="str">
        <f>WES!$B$3</f>
        <v>($ in Millions USD Except Per Share Amounts in USD as Stated and Per Unit Figures)</v>
      </c>
      <c r="C3" s="1"/>
      <c r="D3" s="2"/>
      <c r="E3" s="2"/>
      <c r="F3" s="2"/>
      <c r="G3" s="2"/>
      <c r="H3" s="1"/>
      <c r="I3" s="1"/>
      <c r="J3" s="1"/>
      <c r="K3" s="1"/>
      <c r="L3" s="1"/>
      <c r="M3" s="1"/>
      <c r="O3" s="262"/>
      <c r="P3" s="262"/>
      <c r="Q3" s="1"/>
      <c r="R3" s="1"/>
      <c r="S3" s="1"/>
      <c r="T3" s="266"/>
      <c r="U3"/>
      <c r="V3" s="1"/>
      <c r="W3" s="1"/>
      <c r="X3" s="1"/>
      <c r="Y3" s="1"/>
      <c r="Z3" s="1"/>
      <c r="AA3" s="1"/>
    </row>
    <row r="4" spans="1:27" x14ac:dyDescent="0.45">
      <c r="A4" s="1"/>
      <c r="B4" s="205"/>
      <c r="C4" s="1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1"/>
      <c r="O4" s="205"/>
      <c r="P4" s="262"/>
      <c r="Q4" s="205"/>
      <c r="R4" s="205"/>
      <c r="S4" s="1"/>
      <c r="U4" s="1"/>
      <c r="V4" s="1"/>
      <c r="W4" s="1"/>
      <c r="X4" s="1"/>
      <c r="Y4" s="1"/>
      <c r="Z4" s="1"/>
      <c r="AA4" s="1"/>
    </row>
    <row r="5" spans="1:27" hidden="1" outlineLevel="1" x14ac:dyDescent="0.45">
      <c r="A5" s="1"/>
      <c r="B5" s="296" t="str">
        <f>WACC!$B$11</f>
        <v>Company Name</v>
      </c>
      <c r="C5" s="1"/>
      <c r="D5" s="205"/>
      <c r="E5" s="205"/>
      <c r="F5" s="299" t="str">
        <f>WACC!$D$11</f>
        <v>Beta</v>
      </c>
      <c r="G5" s="299" t="str">
        <f>WACC!$K$11</f>
        <v>Tax Rate</v>
      </c>
      <c r="H5" s="299" t="str">
        <f>WACC!$I$11</f>
        <v>Eq Val</v>
      </c>
      <c r="I5" s="299" t="str">
        <f>WACC!$E$11</f>
        <v>Debt</v>
      </c>
      <c r="J5" s="299" t="str">
        <f>WACC!$G$11</f>
        <v>Pref</v>
      </c>
      <c r="K5" s="205"/>
      <c r="L5" s="205"/>
      <c r="M5" s="205"/>
      <c r="N5" s="1"/>
      <c r="O5" s="296" t="e">
        <f>#REF!</f>
        <v>#REF!</v>
      </c>
      <c r="P5" s="297" t="e">
        <f>#REF!</f>
        <v>#REF!</v>
      </c>
      <c r="Q5" s="205"/>
      <c r="R5" s="296" t="e">
        <f>#REF!</f>
        <v>#REF!</v>
      </c>
      <c r="S5" s="298" t="e">
        <f>#REF!</f>
        <v>#REF!</v>
      </c>
      <c r="U5" s="1"/>
      <c r="V5" s="1"/>
      <c r="W5" s="300" t="e">
        <f>#REF!</f>
        <v>#REF!</v>
      </c>
      <c r="X5" s="300" t="e">
        <f>#REF!</f>
        <v>#REF!</v>
      </c>
      <c r="Y5" s="1"/>
      <c r="Z5" s="1"/>
      <c r="AA5" s="1"/>
    </row>
    <row r="6" spans="1:27" collapsed="1" x14ac:dyDescent="0.45">
      <c r="A6" s="1"/>
      <c r="B6" s="206" t="s">
        <v>157</v>
      </c>
      <c r="C6" s="207"/>
      <c r="D6" s="207"/>
      <c r="E6" s="207"/>
      <c r="F6" s="207"/>
      <c r="G6" s="207"/>
      <c r="H6" s="208" t="s">
        <v>158</v>
      </c>
      <c r="I6" s="208"/>
      <c r="J6" s="208"/>
      <c r="K6" s="208"/>
      <c r="L6" s="208"/>
      <c r="M6" s="209"/>
      <c r="N6" s="210"/>
      <c r="O6" s="210"/>
      <c r="P6" s="210"/>
      <c r="Q6" s="211"/>
      <c r="R6" s="211"/>
      <c r="S6" s="211"/>
      <c r="T6" s="211"/>
      <c r="U6" s="211"/>
      <c r="V6" s="211"/>
      <c r="W6" s="211"/>
      <c r="X6" s="211"/>
      <c r="Y6" s="211" t="s">
        <v>190</v>
      </c>
      <c r="Z6" s="211" t="s">
        <v>190</v>
      </c>
      <c r="AA6" s="211" t="s">
        <v>228</v>
      </c>
    </row>
    <row r="7" spans="1:27" x14ac:dyDescent="0.45">
      <c r="A7" s="1"/>
      <c r="B7" s="210"/>
      <c r="C7" s="210"/>
      <c r="D7" s="211" t="s">
        <v>159</v>
      </c>
      <c r="E7" s="211" t="s">
        <v>181</v>
      </c>
      <c r="F7" s="211"/>
      <c r="G7" s="211"/>
      <c r="H7" s="211" t="s">
        <v>130</v>
      </c>
      <c r="I7" s="211"/>
      <c r="J7" s="211"/>
      <c r="K7" s="211" t="s">
        <v>160</v>
      </c>
      <c r="L7" s="211" t="s">
        <v>161</v>
      </c>
      <c r="M7" s="211" t="s">
        <v>162</v>
      </c>
      <c r="N7" s="208" t="s">
        <v>16</v>
      </c>
      <c r="O7" s="208"/>
      <c r="P7" s="208"/>
      <c r="Q7" s="208" t="s">
        <v>215</v>
      </c>
      <c r="R7" s="208"/>
      <c r="S7" s="208"/>
      <c r="T7" s="208" t="s">
        <v>227</v>
      </c>
      <c r="U7" s="208"/>
      <c r="V7" s="208"/>
      <c r="W7" s="208" t="s">
        <v>225</v>
      </c>
      <c r="X7" s="208"/>
      <c r="Y7" s="211" t="s">
        <v>226</v>
      </c>
      <c r="Z7" s="211" t="s">
        <v>228</v>
      </c>
      <c r="AA7" s="211" t="s">
        <v>176</v>
      </c>
    </row>
    <row r="8" spans="1:27" x14ac:dyDescent="0.45">
      <c r="A8" s="1"/>
      <c r="B8" s="212" t="s">
        <v>163</v>
      </c>
      <c r="C8" s="212" t="s">
        <v>132</v>
      </c>
      <c r="D8" s="213" t="s">
        <v>164</v>
      </c>
      <c r="E8" s="213" t="s">
        <v>174</v>
      </c>
      <c r="F8" s="213" t="s">
        <v>133</v>
      </c>
      <c r="G8" s="213" t="s">
        <v>139</v>
      </c>
      <c r="H8" s="213" t="s">
        <v>137</v>
      </c>
      <c r="I8" s="213" t="s">
        <v>134</v>
      </c>
      <c r="J8" s="213" t="s">
        <v>129</v>
      </c>
      <c r="K8" s="213" t="s">
        <v>165</v>
      </c>
      <c r="L8" s="213" t="s">
        <v>166</v>
      </c>
      <c r="M8" s="213" t="s">
        <v>137</v>
      </c>
      <c r="N8" s="214" t="s">
        <v>224</v>
      </c>
      <c r="O8" s="215" t="str">
        <f>"CY "&amp;TEXT(WES!$I$22,"yy")</f>
        <v>CY 25</v>
      </c>
      <c r="P8" s="215" t="str">
        <f>"CY "&amp;TEXT(WES!$J$22,"yy")</f>
        <v>CY 26</v>
      </c>
      <c r="Q8" s="214" t="s">
        <v>224</v>
      </c>
      <c r="R8" s="215" t="str">
        <f>"CY "&amp;TEXT(WES!$I$22,"yy")</f>
        <v>CY 25</v>
      </c>
      <c r="S8" s="215" t="str">
        <f>"CY "&amp;TEXT(WES!$J$22,"yy")</f>
        <v>CY 26</v>
      </c>
      <c r="T8" s="214" t="s">
        <v>224</v>
      </c>
      <c r="U8" s="215" t="str">
        <f>"CY "&amp;TEXT(WES!$I$22,"yy")</f>
        <v>CY 25</v>
      </c>
      <c r="V8" s="215" t="str">
        <f>"CY "&amp;TEXT(WES!$J$22,"yy")</f>
        <v>CY 26</v>
      </c>
      <c r="W8" s="215" t="s">
        <v>180</v>
      </c>
      <c r="X8" s="215" t="s">
        <v>226</v>
      </c>
      <c r="Y8" s="216" t="s">
        <v>178</v>
      </c>
      <c r="Z8" s="246" t="s">
        <v>178</v>
      </c>
      <c r="AA8" s="213" t="s">
        <v>177</v>
      </c>
    </row>
    <row r="9" spans="1:27" x14ac:dyDescent="0.45">
      <c r="A9" s="1"/>
      <c r="B9" s="1" t="s">
        <v>203</v>
      </c>
      <c r="C9" s="1" t="s">
        <v>204</v>
      </c>
      <c r="D9" s="217">
        <v>66.040000000000006</v>
      </c>
      <c r="E9" s="48">
        <v>484.04812299999998</v>
      </c>
      <c r="F9" s="252">
        <v>0.55000000000000004</v>
      </c>
      <c r="G9" s="60">
        <v>0</v>
      </c>
      <c r="H9" s="3">
        <f>D9*E9</f>
        <v>31966.538042920001</v>
      </c>
      <c r="I9" s="50">
        <v>14803</v>
      </c>
      <c r="J9" s="50">
        <v>0</v>
      </c>
      <c r="K9" s="50">
        <v>-2330</v>
      </c>
      <c r="L9" s="50">
        <v>-379</v>
      </c>
      <c r="M9" s="3">
        <f>SUM(H9:L9)</f>
        <v>44060.538042920001</v>
      </c>
      <c r="N9" s="50">
        <v>3960</v>
      </c>
      <c r="O9" s="50">
        <v>3802.34</v>
      </c>
      <c r="P9" s="50">
        <v>3784.61</v>
      </c>
      <c r="Q9" s="73">
        <v>2578.1</v>
      </c>
      <c r="R9" s="73">
        <v>2475.4577661616158</v>
      </c>
      <c r="S9" s="73">
        <v>2463.9149093434344</v>
      </c>
      <c r="T9" s="73">
        <v>1677</v>
      </c>
      <c r="U9" s="73">
        <v>1597.3588058999999</v>
      </c>
      <c r="V9" s="73">
        <v>1589.9104526152842</v>
      </c>
      <c r="W9" s="218">
        <f>IFERROR((P9/N9)^(1/2)-1,"N/A")</f>
        <v>-2.2395992254739094E-2</v>
      </c>
      <c r="X9" s="218">
        <f>IFERROR((S9/Q9)^(1/2)-1,"N/A")</f>
        <v>-2.2395992254739094E-2</v>
      </c>
      <c r="Y9" s="218">
        <f>IFERROR(IF(OR(R9/$H9&lt;=0,R9/$H9&gt;=1),"NM",R9/$H9),"N/A")</f>
        <v>7.7439032116581805E-2</v>
      </c>
      <c r="Z9" s="218">
        <f>IFERROR(IF(OR(U9/$H9&lt;=0,U9/$H9&gt;=1),"NM",U9/$H9),"N/A")</f>
        <v>4.9969715324046024E-2</v>
      </c>
      <c r="AA9" s="79">
        <f>IFERROR(Q9/T9, "N/A")</f>
        <v>1.5373285629099582</v>
      </c>
    </row>
    <row r="10" spans="1:27" x14ac:dyDescent="0.45">
      <c r="A10" s="1"/>
      <c r="B10" s="1" t="s">
        <v>201</v>
      </c>
      <c r="C10" s="1" t="s">
        <v>202</v>
      </c>
      <c r="D10" s="219">
        <v>20</v>
      </c>
      <c r="E10" s="48">
        <v>703.77594999999997</v>
      </c>
      <c r="F10" s="252">
        <v>1.1399999999999999</v>
      </c>
      <c r="G10" s="60">
        <v>0.15234375</v>
      </c>
      <c r="H10" s="4">
        <f>D10*E10</f>
        <v>14075.519</v>
      </c>
      <c r="I10" s="48">
        <v>7108</v>
      </c>
      <c r="J10" s="48">
        <v>2301</v>
      </c>
      <c r="K10" s="48">
        <v>3413</v>
      </c>
      <c r="L10" s="48">
        <v>-3159</v>
      </c>
      <c r="M10" s="4">
        <f>SUM(H10:L10)</f>
        <v>23738.519</v>
      </c>
      <c r="N10" s="48">
        <v>2773</v>
      </c>
      <c r="O10" s="48">
        <v>2939.38</v>
      </c>
      <c r="P10" s="48">
        <v>2936.4406200000003</v>
      </c>
      <c r="Q10" s="74">
        <v>1720</v>
      </c>
      <c r="R10" s="74">
        <v>1823.2000000000003</v>
      </c>
      <c r="S10" s="74">
        <v>1821.3768000000002</v>
      </c>
      <c r="T10" s="74">
        <v>891</v>
      </c>
      <c r="U10" s="74">
        <v>1069.739444</v>
      </c>
      <c r="V10" s="74">
        <v>1175.3058364999999</v>
      </c>
      <c r="W10" s="218">
        <f t="shared" ref="W10:W12" si="0">IFERROR((P10/N10)^(1/2)-1,"N/A")</f>
        <v>2.9048103831886163E-2</v>
      </c>
      <c r="X10" s="218">
        <f t="shared" ref="X10:X12" si="1">IFERROR((S10/Q10)^(1/2)-1,"N/A")</f>
        <v>2.9048103831886163E-2</v>
      </c>
      <c r="Y10" s="218">
        <f>IFERROR(IF(OR(R10/$H10&lt;=0,R10/$H10&gt;=1),"NM",R10/$H10),"N/A")</f>
        <v>0.12952985960943963</v>
      </c>
      <c r="Z10" s="218">
        <f>IFERROR(IF(OR(U10/$H10&lt;=0,U10/$H10&gt;=1),"NM",U10/$H10),"N/A")</f>
        <v>7.5999999999999998E-2</v>
      </c>
      <c r="AA10" s="79">
        <f>IFERROR(Q10/T10,"N/A")</f>
        <v>1.9304152637485972</v>
      </c>
    </row>
    <row r="11" spans="1:27" x14ac:dyDescent="0.45">
      <c r="A11" s="1"/>
      <c r="B11" s="1" t="s">
        <v>205</v>
      </c>
      <c r="C11" s="1" t="s">
        <v>206</v>
      </c>
      <c r="D11" s="219">
        <v>42.29</v>
      </c>
      <c r="E11" s="48">
        <v>116.73690000000001</v>
      </c>
      <c r="F11" s="252">
        <v>1.1000000000000001</v>
      </c>
      <c r="G11" s="60">
        <v>9.8248494800218938E-2</v>
      </c>
      <c r="H11" s="4">
        <f>D11*E11</f>
        <v>4936.8035010000003</v>
      </c>
      <c r="I11" s="48">
        <v>3421.2</v>
      </c>
      <c r="J11" s="48">
        <v>0</v>
      </c>
      <c r="K11" s="48">
        <v>-46.000000000000007</v>
      </c>
      <c r="L11" s="48">
        <v>-159.39999999999998</v>
      </c>
      <c r="M11" s="4">
        <f>SUM(H11:L11)</f>
        <v>8152.6035009999996</v>
      </c>
      <c r="N11" s="48">
        <v>1122.0999999999999</v>
      </c>
      <c r="O11" s="48">
        <v>1265.98</v>
      </c>
      <c r="P11" s="48">
        <v>1402.07</v>
      </c>
      <c r="Q11" s="74">
        <v>467.13799999999986</v>
      </c>
      <c r="R11" s="48">
        <v>527.03624029943842</v>
      </c>
      <c r="S11" s="48">
        <v>583.69144965689316</v>
      </c>
      <c r="T11" s="48">
        <v>235.3</v>
      </c>
      <c r="U11" s="48">
        <v>247.06500000000003</v>
      </c>
      <c r="V11" s="48">
        <v>259.41825000000006</v>
      </c>
      <c r="W11" s="218">
        <f t="shared" si="0"/>
        <v>0.11781277129773438</v>
      </c>
      <c r="X11" s="218">
        <f t="shared" si="1"/>
        <v>0.11781277129773438</v>
      </c>
      <c r="Y11" s="218">
        <f t="shared" ref="Y11:Y13" si="2">IFERROR(IF(OR(R11/$H11&lt;=0,R11/$H11&gt;=1),"NM",R11/$H11),"N/A")</f>
        <v>0.10675657643507216</v>
      </c>
      <c r="Z11" s="218">
        <f t="shared" ref="Z11:Z13" si="3">IFERROR(IF(OR(U11/$H11&lt;=0,U11/$H11&gt;=1),"NM",U11/$H11),"N/A")</f>
        <v>5.0045540591185059E-2</v>
      </c>
      <c r="AA11" s="79">
        <f>IFERROR(Q11/T11, "N/A")</f>
        <v>1.9852868678283035</v>
      </c>
    </row>
    <row r="12" spans="1:27" x14ac:dyDescent="0.45">
      <c r="A12" s="1"/>
      <c r="B12" s="1" t="s">
        <v>207</v>
      </c>
      <c r="C12" s="1" t="s">
        <v>208</v>
      </c>
      <c r="D12" s="219">
        <v>15.69</v>
      </c>
      <c r="E12" s="48">
        <v>122.42431000000001</v>
      </c>
      <c r="F12" s="252">
        <v>1.36</v>
      </c>
      <c r="G12" s="60">
        <v>1.2E-2</v>
      </c>
      <c r="H12" s="4">
        <f>D12*E12</f>
        <v>1920.8374239</v>
      </c>
      <c r="I12" s="48">
        <v>4107.1530000000002</v>
      </c>
      <c r="J12" s="48">
        <v>813.58900000000006</v>
      </c>
      <c r="K12" s="48">
        <v>667.226</v>
      </c>
      <c r="L12" s="48">
        <v>-269.92</v>
      </c>
      <c r="M12" s="4">
        <f>SUM(H12:L12)</f>
        <v>7238.8854239000002</v>
      </c>
      <c r="N12" s="48">
        <v>569.25700000000006</v>
      </c>
      <c r="O12" s="48">
        <v>605</v>
      </c>
      <c r="P12" s="48">
        <v>708</v>
      </c>
      <c r="Q12" s="74">
        <v>179.00100000000012</v>
      </c>
      <c r="R12" s="48">
        <v>190.24026933353485</v>
      </c>
      <c r="S12" s="48">
        <v>222.62828212916145</v>
      </c>
      <c r="T12" s="48">
        <v>75.316999999999993</v>
      </c>
      <c r="U12" s="48">
        <v>77.576509999999999</v>
      </c>
      <c r="V12" s="48">
        <v>79.128040200000001</v>
      </c>
      <c r="W12" s="218">
        <f t="shared" si="0"/>
        <v>0.11522485245057501</v>
      </c>
      <c r="X12" s="218">
        <f t="shared" si="1"/>
        <v>0.11522485245057501</v>
      </c>
      <c r="Y12" s="218">
        <f t="shared" si="2"/>
        <v>9.904027637449804E-2</v>
      </c>
      <c r="Z12" s="218">
        <f t="shared" si="3"/>
        <v>4.0386817246871112E-2</v>
      </c>
      <c r="AA12" s="79">
        <f>IFERROR(Q12/T12, "N/A")</f>
        <v>2.3766347570933539</v>
      </c>
    </row>
    <row r="13" spans="1:27" x14ac:dyDescent="0.45">
      <c r="A13" s="1"/>
      <c r="B13" s="1" t="s">
        <v>209</v>
      </c>
      <c r="C13" s="1" t="s">
        <v>210</v>
      </c>
      <c r="D13" s="219">
        <v>4.54</v>
      </c>
      <c r="E13" s="48">
        <v>132.012766</v>
      </c>
      <c r="F13" s="252">
        <v>1.2</v>
      </c>
      <c r="G13" s="60">
        <v>5.1361749710971709E-3</v>
      </c>
      <c r="H13" s="4">
        <f>D13*E13</f>
        <v>599.33795764000001</v>
      </c>
      <c r="I13" s="48">
        <v>3153.6660000000002</v>
      </c>
      <c r="J13" s="48">
        <v>899.45600000000002</v>
      </c>
      <c r="K13" s="48">
        <v>31.318000000000001</v>
      </c>
      <c r="L13" s="48">
        <v>-29.552</v>
      </c>
      <c r="M13" s="4">
        <f>SUM(H13:L13)</f>
        <v>4654.2259576400011</v>
      </c>
      <c r="N13" s="48">
        <v>505.2639999999999</v>
      </c>
      <c r="O13" s="48">
        <v>545.68511999999987</v>
      </c>
      <c r="P13" s="48">
        <v>583.88307839999993</v>
      </c>
      <c r="Q13" s="74">
        <v>-314.05000000000007</v>
      </c>
      <c r="R13" s="311">
        <v>-273.62888000000009</v>
      </c>
      <c r="S13" s="48">
        <v>-235.43092160000003</v>
      </c>
      <c r="T13" s="48">
        <v>0</v>
      </c>
      <c r="U13" s="48">
        <v>0</v>
      </c>
      <c r="V13" s="48">
        <v>0</v>
      </c>
      <c r="W13" s="218">
        <f t="shared" ref="W13" si="4">IFERROR((P13/N13)^(1/2)-1,"N/A")</f>
        <v>7.4988372030135197E-2</v>
      </c>
      <c r="X13" s="218">
        <f t="shared" ref="X13" si="5">IFERROR((S13/Q13)^(1/2)-1,"N/A")</f>
        <v>-0.13417055236993791</v>
      </c>
      <c r="Y13" s="218" t="str">
        <f t="shared" si="2"/>
        <v>NM</v>
      </c>
      <c r="Z13" s="218" t="str">
        <f t="shared" si="3"/>
        <v>NM</v>
      </c>
      <c r="AA13" s="79" t="str">
        <f>IFERROR(Q13/T13, "N/A")</f>
        <v>N/A</v>
      </c>
    </row>
    <row r="14" spans="1:27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U14" s="1"/>
      <c r="V14" s="1"/>
      <c r="W14" s="1"/>
      <c r="X14" s="1"/>
      <c r="Y14" s="1"/>
      <c r="Z14" s="1"/>
      <c r="AA14" s="1"/>
    </row>
    <row r="15" spans="1:27" x14ac:dyDescent="0.45">
      <c r="A15" s="1"/>
      <c r="B15" s="220" t="s">
        <v>167</v>
      </c>
      <c r="C15" s="121"/>
      <c r="D15" s="221"/>
      <c r="E15" s="221"/>
      <c r="F15" s="254">
        <f>MAX(F9:F13)</f>
        <v>1.36</v>
      </c>
      <c r="G15" s="261">
        <f>MAX(G9:G13)</f>
        <v>0.15234375</v>
      </c>
      <c r="H15" s="222">
        <f>MAX(H9:H13)</f>
        <v>31966.538042920001</v>
      </c>
      <c r="I15" s="222"/>
      <c r="J15" s="222"/>
      <c r="K15" s="222"/>
      <c r="L15" s="222"/>
      <c r="M15" s="222">
        <f>MAX(M9:M13)</f>
        <v>44060.538042920001</v>
      </c>
      <c r="N15" s="222">
        <f t="shared" ref="N15:Z15" si="6">MAX(N9:N13)</f>
        <v>3960</v>
      </c>
      <c r="O15" s="222">
        <f t="shared" si="6"/>
        <v>3802.34</v>
      </c>
      <c r="P15" s="222">
        <f t="shared" si="6"/>
        <v>3784.61</v>
      </c>
      <c r="Q15" s="222">
        <f t="shared" si="6"/>
        <v>2578.1</v>
      </c>
      <c r="R15" s="222">
        <f t="shared" si="6"/>
        <v>2475.4577661616158</v>
      </c>
      <c r="S15" s="222">
        <f t="shared" si="6"/>
        <v>2463.9149093434344</v>
      </c>
      <c r="T15" s="222">
        <f t="shared" si="6"/>
        <v>1677</v>
      </c>
      <c r="U15" s="222">
        <f t="shared" si="6"/>
        <v>1597.3588058999999</v>
      </c>
      <c r="V15" s="222">
        <f t="shared" si="6"/>
        <v>1589.9104526152842</v>
      </c>
      <c r="W15" s="182">
        <f t="shared" ref="W15:X15" si="7">MAX(W9:W13)</f>
        <v>0.11781277129773438</v>
      </c>
      <c r="X15" s="182">
        <f t="shared" si="7"/>
        <v>0.11781277129773438</v>
      </c>
      <c r="Y15" s="182">
        <f t="shared" si="6"/>
        <v>0.12952985960943963</v>
      </c>
      <c r="Z15" s="182">
        <f t="shared" si="6"/>
        <v>7.5999999999999998E-2</v>
      </c>
      <c r="AA15" s="247">
        <f t="shared" ref="AA15" si="8">MAX(AA9:AA13)</f>
        <v>2.3766347570933539</v>
      </c>
    </row>
    <row r="16" spans="1:27" x14ac:dyDescent="0.45">
      <c r="A16" s="1"/>
      <c r="B16" s="223" t="s">
        <v>168</v>
      </c>
      <c r="C16" s="1"/>
      <c r="D16" s="199"/>
      <c r="E16" s="199"/>
      <c r="F16" s="255">
        <f>QUARTILE(F9:F13,3)</f>
        <v>1.2</v>
      </c>
      <c r="G16" s="262">
        <f>QUARTILE(G9:G13,3)</f>
        <v>9.8248494800218938E-2</v>
      </c>
      <c r="H16" s="122">
        <f>QUARTILE(H9:H13,3)</f>
        <v>14075.519</v>
      </c>
      <c r="I16" s="122"/>
      <c r="J16" s="122"/>
      <c r="K16" s="122"/>
      <c r="L16" s="122"/>
      <c r="M16" s="122">
        <f>QUARTILE(M9:M13,3)</f>
        <v>23738.519</v>
      </c>
      <c r="N16" s="122">
        <f t="shared" ref="N16:Z16" si="9">QUARTILE(N9:N13,3)</f>
        <v>2773</v>
      </c>
      <c r="O16" s="122">
        <f t="shared" si="9"/>
        <v>2939.38</v>
      </c>
      <c r="P16" s="122">
        <f t="shared" si="9"/>
        <v>2936.4406200000003</v>
      </c>
      <c r="Q16" s="122">
        <f t="shared" si="9"/>
        <v>1720</v>
      </c>
      <c r="R16" s="122">
        <f t="shared" si="9"/>
        <v>1823.2000000000003</v>
      </c>
      <c r="S16" s="122">
        <f t="shared" si="9"/>
        <v>1821.3768000000002</v>
      </c>
      <c r="T16" s="122">
        <f t="shared" si="9"/>
        <v>891</v>
      </c>
      <c r="U16" s="122">
        <f t="shared" si="9"/>
        <v>1069.739444</v>
      </c>
      <c r="V16" s="122">
        <f t="shared" si="9"/>
        <v>1175.3058364999999</v>
      </c>
      <c r="W16" s="185">
        <f t="shared" ref="W16:X16" si="10">QUARTILE(W9:W13,3)</f>
        <v>0.11522485245057501</v>
      </c>
      <c r="X16" s="185">
        <f t="shared" si="10"/>
        <v>0.11522485245057501</v>
      </c>
      <c r="Y16" s="185">
        <f t="shared" si="9"/>
        <v>0.11244989722866403</v>
      </c>
      <c r="Z16" s="185">
        <f t="shared" si="9"/>
        <v>5.6534155443388794E-2</v>
      </c>
      <c r="AA16" s="248">
        <f t="shared" ref="AA16" si="11">QUARTILE(AA9:AA13,3)</f>
        <v>2.083123840144566</v>
      </c>
    </row>
    <row r="17" spans="1:27" x14ac:dyDescent="0.45">
      <c r="A17" s="1"/>
      <c r="B17" s="224" t="s">
        <v>169</v>
      </c>
      <c r="C17" s="225"/>
      <c r="D17" s="226"/>
      <c r="E17" s="227"/>
      <c r="F17" s="256">
        <f>MEDIAN(F9:F13)</f>
        <v>1.1399999999999999</v>
      </c>
      <c r="G17" s="263">
        <f>MEDIAN(G9:G13)</f>
        <v>1.2E-2</v>
      </c>
      <c r="H17" s="228">
        <f>MEDIAN(H9:H13)</f>
        <v>4936.8035010000003</v>
      </c>
      <c r="I17" s="229"/>
      <c r="J17" s="229"/>
      <c r="K17" s="229"/>
      <c r="L17" s="229"/>
      <c r="M17" s="228">
        <f>MEDIAN(M9:M13)</f>
        <v>8152.6035009999996</v>
      </c>
      <c r="N17" s="228">
        <f t="shared" ref="N17:Z17" si="12">MEDIAN(N9:N13)</f>
        <v>1122.0999999999999</v>
      </c>
      <c r="O17" s="228">
        <f t="shared" si="12"/>
        <v>1265.98</v>
      </c>
      <c r="P17" s="228">
        <f t="shared" si="12"/>
        <v>1402.07</v>
      </c>
      <c r="Q17" s="228">
        <f t="shared" si="12"/>
        <v>467.13799999999986</v>
      </c>
      <c r="R17" s="228">
        <f t="shared" si="12"/>
        <v>527.03624029943842</v>
      </c>
      <c r="S17" s="228">
        <f t="shared" si="12"/>
        <v>583.69144965689316</v>
      </c>
      <c r="T17" s="228">
        <f t="shared" si="12"/>
        <v>235.3</v>
      </c>
      <c r="U17" s="228">
        <f t="shared" si="12"/>
        <v>247.06500000000003</v>
      </c>
      <c r="V17" s="228">
        <f t="shared" si="12"/>
        <v>259.41825000000006</v>
      </c>
      <c r="W17" s="269">
        <f t="shared" ref="W17:X17" si="13">MEDIAN(W9:W13)</f>
        <v>7.4988372030135197E-2</v>
      </c>
      <c r="X17" s="269">
        <f t="shared" si="13"/>
        <v>2.9048103831886163E-2</v>
      </c>
      <c r="Y17" s="269">
        <f t="shared" si="12"/>
        <v>0.10289842640478511</v>
      </c>
      <c r="Z17" s="269">
        <f t="shared" si="12"/>
        <v>5.0007627957615541E-2</v>
      </c>
      <c r="AA17" s="249">
        <f t="shared" ref="AA17" si="14">MEDIAN(AA9:AA13)</f>
        <v>1.9578510657884505</v>
      </c>
    </row>
    <row r="18" spans="1:27" x14ac:dyDescent="0.45">
      <c r="A18" s="1"/>
      <c r="B18" s="223" t="s">
        <v>170</v>
      </c>
      <c r="C18" s="2"/>
      <c r="D18" s="199"/>
      <c r="E18" s="199"/>
      <c r="F18" s="255">
        <f>QUARTILE(F9:F13,1)</f>
        <v>1.1000000000000001</v>
      </c>
      <c r="G18" s="262">
        <f>QUARTILE(G9:G13,1)</f>
        <v>5.1361749710971709E-3</v>
      </c>
      <c r="H18" s="122">
        <f>QUARTILE(H9:H13,1)</f>
        <v>1920.8374239</v>
      </c>
      <c r="I18" s="122"/>
      <c r="J18" s="122"/>
      <c r="K18" s="122"/>
      <c r="L18" s="122"/>
      <c r="M18" s="122">
        <f>QUARTILE(M9:M13,1)</f>
        <v>7238.8854239000002</v>
      </c>
      <c r="N18" s="122">
        <f t="shared" ref="N18:Z18" si="15">QUARTILE(N9:N13,1)</f>
        <v>569.25700000000006</v>
      </c>
      <c r="O18" s="122">
        <f t="shared" si="15"/>
        <v>605</v>
      </c>
      <c r="P18" s="122">
        <f t="shared" si="15"/>
        <v>708</v>
      </c>
      <c r="Q18" s="122">
        <f t="shared" si="15"/>
        <v>179.00100000000012</v>
      </c>
      <c r="R18" s="122">
        <f t="shared" si="15"/>
        <v>190.24026933353485</v>
      </c>
      <c r="S18" s="122">
        <f t="shared" si="15"/>
        <v>222.62828212916145</v>
      </c>
      <c r="T18" s="122">
        <f t="shared" si="15"/>
        <v>75.316999999999993</v>
      </c>
      <c r="U18" s="122">
        <f t="shared" si="15"/>
        <v>77.576509999999999</v>
      </c>
      <c r="V18" s="122">
        <f t="shared" si="15"/>
        <v>79.128040200000001</v>
      </c>
      <c r="W18" s="185">
        <f t="shared" ref="W18:X18" si="16">QUARTILE(W9:W13,1)</f>
        <v>2.9048103831886163E-2</v>
      </c>
      <c r="X18" s="185">
        <f t="shared" si="16"/>
        <v>-2.2395992254739094E-2</v>
      </c>
      <c r="Y18" s="185">
        <f t="shared" si="15"/>
        <v>9.3639965310018974E-2</v>
      </c>
      <c r="Z18" s="185">
        <f t="shared" si="15"/>
        <v>4.7573990804752296E-2</v>
      </c>
      <c r="AA18" s="248">
        <f t="shared" ref="AA18" si="17">QUARTILE(AA9:AA13,1)</f>
        <v>1.8321435885389374</v>
      </c>
    </row>
    <row r="19" spans="1:27" x14ac:dyDescent="0.45">
      <c r="A19" s="1"/>
      <c r="B19" s="230" t="s">
        <v>171</v>
      </c>
      <c r="C19" s="231"/>
      <c r="D19" s="232"/>
      <c r="E19" s="232"/>
      <c r="F19" s="257">
        <f>MIN(F9:F13)</f>
        <v>0.55000000000000004</v>
      </c>
      <c r="G19" s="264">
        <f>MIN(G9:G13)</f>
        <v>0</v>
      </c>
      <c r="H19" s="233">
        <f>MIN(H9:H13)</f>
        <v>599.33795764000001</v>
      </c>
      <c r="I19" s="233"/>
      <c r="J19" s="233"/>
      <c r="K19" s="233"/>
      <c r="L19" s="233"/>
      <c r="M19" s="233">
        <f>MIN(M9:M13)</f>
        <v>4654.2259576400011</v>
      </c>
      <c r="N19" s="233">
        <f t="shared" ref="N19:Z19" si="18">MIN(N9:N13)</f>
        <v>505.2639999999999</v>
      </c>
      <c r="O19" s="233">
        <f t="shared" si="18"/>
        <v>545.68511999999987</v>
      </c>
      <c r="P19" s="233">
        <f t="shared" si="18"/>
        <v>583.88307839999993</v>
      </c>
      <c r="Q19" s="233">
        <f t="shared" si="18"/>
        <v>-314.05000000000007</v>
      </c>
      <c r="R19" s="233">
        <f t="shared" si="18"/>
        <v>-273.62888000000009</v>
      </c>
      <c r="S19" s="233">
        <f t="shared" si="18"/>
        <v>-235.43092160000003</v>
      </c>
      <c r="T19" s="233">
        <f t="shared" si="18"/>
        <v>0</v>
      </c>
      <c r="U19" s="233">
        <f t="shared" si="18"/>
        <v>0</v>
      </c>
      <c r="V19" s="233">
        <f t="shared" si="18"/>
        <v>0</v>
      </c>
      <c r="W19" s="270">
        <f t="shared" ref="W19:X19" si="19">MIN(W9:W13)</f>
        <v>-2.2395992254739094E-2</v>
      </c>
      <c r="X19" s="270">
        <f t="shared" si="19"/>
        <v>-0.13417055236993791</v>
      </c>
      <c r="Y19" s="270">
        <f t="shared" si="18"/>
        <v>7.7439032116581805E-2</v>
      </c>
      <c r="Z19" s="270">
        <f t="shared" si="18"/>
        <v>4.0386817246871112E-2</v>
      </c>
      <c r="AA19" s="250">
        <f t="shared" ref="AA19" si="20">MIN(AA9:AA13)</f>
        <v>1.5373285629099582</v>
      </c>
    </row>
    <row r="20" spans="1:27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99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45">
      <c r="A21" s="1"/>
      <c r="B21" s="175" t="str">
        <f>Company_Name</f>
        <v>Western Midstream Partners, LP</v>
      </c>
      <c r="C21" s="176" t="str">
        <f>Ticker</f>
        <v>NYSE:WES</v>
      </c>
      <c r="D21" s="234">
        <f>Share_Price</f>
        <v>40.96</v>
      </c>
      <c r="E21" s="235">
        <f>Diluted_Shares</f>
        <v>382.45499999999998</v>
      </c>
      <c r="F21" s="253">
        <v>2.33</v>
      </c>
      <c r="G21" s="265">
        <f>Tax_Rate</f>
        <v>0.01</v>
      </c>
      <c r="H21" s="235">
        <f>D21*E21</f>
        <v>15665.3568</v>
      </c>
      <c r="I21" s="235">
        <f>WES!M12+WES!M13</f>
        <v>7580.0780000000004</v>
      </c>
      <c r="J21" s="235">
        <f>WES!M17</f>
        <v>0</v>
      </c>
      <c r="K21" s="235">
        <f>WES!M14+WES!M15+WES!M16</f>
        <v>533.39300000000003</v>
      </c>
      <c r="L21" s="235">
        <f>WES!M9+WES!M10+WES!M11</f>
        <v>-1631.8989999999999</v>
      </c>
      <c r="M21" s="235">
        <f>SUM(H21:L21)</f>
        <v>22146.928799999998</v>
      </c>
      <c r="N21" s="235">
        <f>WES!H112</f>
        <v>2227.4479999999999</v>
      </c>
      <c r="O21" s="235">
        <f>WES!I112</f>
        <v>2446.5904541259256</v>
      </c>
      <c r="P21" s="235">
        <f>WES!J112</f>
        <v>2639.9181581549633</v>
      </c>
      <c r="Q21" s="235">
        <f>WES!H117</f>
        <v>1619.6529999999998</v>
      </c>
      <c r="R21" s="235">
        <f>WES!I117</f>
        <v>1801.2040375399054</v>
      </c>
      <c r="S21" s="235">
        <f>WES!J117</f>
        <v>1939.6447465525544</v>
      </c>
      <c r="T21" s="235">
        <f>WES!H119</f>
        <v>1217.075</v>
      </c>
      <c r="U21" s="235">
        <f>WES!I119</f>
        <v>1266.0423230500708</v>
      </c>
      <c r="V21" s="235">
        <f>WES!J119</f>
        <v>1305.3289287783787</v>
      </c>
      <c r="W21" s="258">
        <f t="shared" ref="W21" si="21">IFERROR((P21/N21)^(1/2)-1,"N/A")</f>
        <v>8.8657940322414808E-2</v>
      </c>
      <c r="X21" s="258">
        <f t="shared" ref="X21" si="22">IFERROR((S21/Q21)^(1/2)-1,"N/A")</f>
        <v>9.4334541204621036E-2</v>
      </c>
      <c r="Y21" s="258">
        <f t="shared" ref="Y21" si="23">IFERROR(IF(OR(R21/$H21&lt;=0,R21/$H21&gt;=1),"NM",R21/$H21),"N/A")</f>
        <v>0.11498008379482971</v>
      </c>
      <c r="Z21" s="258">
        <f t="shared" ref="Z21" si="24">IFERROR(IF(OR(U21/$H21&lt;=0,U21/$H21&gt;=1),"NM",U21/$H21),"N/A")</f>
        <v>8.081796917961491E-2</v>
      </c>
      <c r="AA21" s="259">
        <f>IFERROR(Q21/T21, "N/A")</f>
        <v>1.3307750138652095</v>
      </c>
    </row>
    <row r="22" spans="1:27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U22" s="1"/>
      <c r="V22" s="1"/>
      <c r="W22" s="1"/>
      <c r="X22" s="1"/>
      <c r="Y22" s="1"/>
      <c r="Z22" s="1"/>
      <c r="AA22" s="1"/>
    </row>
    <row r="23" spans="1:27" hidden="1" outlineLevel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96" t="e">
        <f>#REF!</f>
        <v>#REF!</v>
      </c>
      <c r="P23" s="296" t="e">
        <f>#REF!</f>
        <v>#REF!</v>
      </c>
      <c r="Q23" s="1"/>
      <c r="R23" s="296" t="e">
        <f>#REF!</f>
        <v>#REF!</v>
      </c>
      <c r="S23" s="296" t="e">
        <f>#REF!</f>
        <v>#REF!</v>
      </c>
      <c r="U23" s="1"/>
      <c r="V23" s="1"/>
      <c r="W23" s="1"/>
      <c r="X23" s="1"/>
      <c r="Y23" s="1"/>
      <c r="Z23" s="1"/>
      <c r="AA23" s="1"/>
    </row>
    <row r="24" spans="1:27" collapsed="1" x14ac:dyDescent="0.45">
      <c r="A24" s="1"/>
      <c r="B24" s="207" t="s">
        <v>172</v>
      </c>
      <c r="C24" s="207"/>
      <c r="D24" s="207"/>
      <c r="E24" s="207"/>
      <c r="F24" s="207"/>
      <c r="G24" s="207"/>
      <c r="H24" s="208" t="s">
        <v>158</v>
      </c>
      <c r="I24" s="208"/>
      <c r="J24" s="208"/>
      <c r="K24" s="208"/>
      <c r="L24" s="208"/>
      <c r="M24" s="209"/>
      <c r="N24" s="208" t="s">
        <v>173</v>
      </c>
      <c r="O24" s="209"/>
      <c r="P24" s="209"/>
      <c r="Q24" s="208" t="s">
        <v>179</v>
      </c>
      <c r="R24" s="208"/>
      <c r="S24" s="209"/>
      <c r="U24" s="4"/>
      <c r="V24" s="4"/>
      <c r="W24" s="4"/>
      <c r="X24" s="4"/>
      <c r="Y24" s="4"/>
      <c r="Z24" s="286"/>
      <c r="AA24" s="286"/>
    </row>
    <row r="25" spans="1:27" x14ac:dyDescent="0.45">
      <c r="A25" s="1"/>
      <c r="B25" s="210"/>
      <c r="C25" s="210"/>
      <c r="D25" s="211"/>
      <c r="E25" s="211"/>
      <c r="F25" s="211"/>
      <c r="G25" s="211"/>
      <c r="H25" s="211" t="s">
        <v>130</v>
      </c>
      <c r="I25" s="211"/>
      <c r="J25" s="211"/>
      <c r="K25" s="211"/>
      <c r="L25" s="211"/>
      <c r="M25" s="211" t="s">
        <v>162</v>
      </c>
      <c r="N25" s="208" t="s">
        <v>180</v>
      </c>
      <c r="O25" s="209"/>
      <c r="P25" s="209"/>
      <c r="Q25" s="208" t="s">
        <v>229</v>
      </c>
      <c r="R25" s="208"/>
      <c r="S25" s="208"/>
      <c r="U25" s="4"/>
      <c r="V25" s="4"/>
      <c r="W25" s="4"/>
      <c r="X25" s="4"/>
      <c r="Y25" s="4"/>
      <c r="Z25" s="4"/>
      <c r="AA25" s="1"/>
    </row>
    <row r="26" spans="1:27" x14ac:dyDescent="0.45">
      <c r="A26" s="1"/>
      <c r="B26" s="212" t="s">
        <v>163</v>
      </c>
      <c r="C26" s="212"/>
      <c r="D26" s="213"/>
      <c r="E26" s="213"/>
      <c r="F26" s="213"/>
      <c r="G26" s="213"/>
      <c r="H26" s="213" t="s">
        <v>137</v>
      </c>
      <c r="I26" s="213"/>
      <c r="J26" s="213"/>
      <c r="K26" s="213"/>
      <c r="L26" s="213"/>
      <c r="M26" s="213" t="s">
        <v>137</v>
      </c>
      <c r="N26" s="214" t="str">
        <f>$N$8</f>
        <v>LTM</v>
      </c>
      <c r="O26" s="215" t="str">
        <f>$O$8</f>
        <v>CY 25</v>
      </c>
      <c r="P26" s="215" t="str">
        <f>$P$8</f>
        <v>CY 26</v>
      </c>
      <c r="Q26" s="214" t="str">
        <f>$Q$8</f>
        <v>LTM</v>
      </c>
      <c r="R26" s="215" t="str">
        <f>$R$8</f>
        <v>CY 25</v>
      </c>
      <c r="S26" s="215" t="str">
        <f>$S$8</f>
        <v>CY 26</v>
      </c>
      <c r="U26" s="251"/>
      <c r="V26" s="251"/>
      <c r="W26" s="251"/>
      <c r="X26" s="251"/>
      <c r="Y26" s="251"/>
      <c r="Z26" s="251"/>
      <c r="AA26" s="2"/>
    </row>
    <row r="27" spans="1:27" x14ac:dyDescent="0.45">
      <c r="A27" s="1"/>
      <c r="B27" s="1" t="str">
        <f t="shared" ref="B27:C31" si="25">B9</f>
        <v>Cheniere Energy Partners, L.P.</v>
      </c>
      <c r="C27" s="1" t="str">
        <f t="shared" si="25"/>
        <v>NYSE:CQP</v>
      </c>
      <c r="D27" s="217"/>
      <c r="E27" s="48"/>
      <c r="F27" s="48"/>
      <c r="G27" s="48"/>
      <c r="H27" s="3">
        <f>H9</f>
        <v>31966.538042920001</v>
      </c>
      <c r="I27" s="50"/>
      <c r="J27" s="50"/>
      <c r="K27" s="50"/>
      <c r="L27" s="50"/>
      <c r="M27" s="3">
        <f>M9</f>
        <v>44060.538042920001</v>
      </c>
      <c r="N27" s="78">
        <f t="shared" ref="N27:P31" si="26">IFERROR(IF(OR($M9/N9&lt;0,$M9/N9&gt;=100),"NM",$M9/N9),"N/A")</f>
        <v>11.126398495686869</v>
      </c>
      <c r="O27" s="78">
        <f t="shared" si="26"/>
        <v>11.58774282229364</v>
      </c>
      <c r="P27" s="78">
        <f t="shared" si="26"/>
        <v>11.64202864837328</v>
      </c>
      <c r="Q27" s="78">
        <f>IFERROR(IF(OR($H9/Q9&lt;0,$H9/Q9&gt;=100),"NM",$H9/Q9),"N/A")</f>
        <v>12.399262264039409</v>
      </c>
      <c r="R27" s="78">
        <f t="shared" ref="R27:S27" si="27">IFERROR(IF(OR($H9/R9&lt;0,$H9/R9&gt;=100),"NM",$H9/R9),"N/A")</f>
        <v>12.913384538362184</v>
      </c>
      <c r="S27" s="78">
        <f t="shared" si="27"/>
        <v>12.973880681390172</v>
      </c>
      <c r="U27" s="4"/>
      <c r="V27" s="1"/>
      <c r="W27" s="1"/>
      <c r="X27" s="1"/>
      <c r="Y27" s="1"/>
      <c r="Z27" s="4"/>
      <c r="AA27" s="1"/>
    </row>
    <row r="28" spans="1:27" x14ac:dyDescent="0.45">
      <c r="A28" s="1"/>
      <c r="B28" s="1" t="str">
        <f t="shared" si="25"/>
        <v>Plains All American Pipeline, L.P.</v>
      </c>
      <c r="C28" s="1" t="str">
        <f t="shared" si="25"/>
        <v>NasdaqGS:PAA</v>
      </c>
      <c r="D28" s="219"/>
      <c r="E28" s="48"/>
      <c r="F28" s="48"/>
      <c r="G28" s="48"/>
      <c r="H28" s="4">
        <f>H10</f>
        <v>14075.519</v>
      </c>
      <c r="I28" s="48"/>
      <c r="J28" s="48"/>
      <c r="K28" s="48"/>
      <c r="L28" s="48"/>
      <c r="M28" s="4">
        <f>M10</f>
        <v>23738.519</v>
      </c>
      <c r="N28" s="78">
        <f t="shared" si="26"/>
        <v>8.5605910566173815</v>
      </c>
      <c r="O28" s="78">
        <f t="shared" si="26"/>
        <v>8.0760292986956426</v>
      </c>
      <c r="P28" s="78">
        <f t="shared" si="26"/>
        <v>8.0841134121077509</v>
      </c>
      <c r="Q28" s="78">
        <f>IFERROR(IF(OR($H10/Q10&lt;0,$H10/Q10&gt;=100),"NM",$H10/Q10),"N/A")</f>
        <v>8.1834412790697684</v>
      </c>
      <c r="R28" s="78">
        <f t="shared" ref="R28:S31" si="28">IFERROR(IF(OR($H10/R10&lt;0,$H10/R10&gt;=100),"NM",$H10/R10),"N/A")</f>
        <v>7.7202276217639305</v>
      </c>
      <c r="S28" s="78">
        <f t="shared" si="28"/>
        <v>7.7279555773412723</v>
      </c>
      <c r="U28" s="1"/>
      <c r="V28" s="1"/>
      <c r="W28" s="1"/>
      <c r="X28" s="1"/>
      <c r="Y28" s="1"/>
      <c r="Z28" s="1"/>
      <c r="AA28" s="1"/>
    </row>
    <row r="29" spans="1:27" x14ac:dyDescent="0.45">
      <c r="A29" s="1"/>
      <c r="B29" s="1" t="str">
        <f t="shared" si="25"/>
        <v>Hess Midstream LP</v>
      </c>
      <c r="C29" s="1" t="str">
        <f t="shared" si="25"/>
        <v>NYSE:HESM</v>
      </c>
      <c r="D29" s="219"/>
      <c r="E29" s="48"/>
      <c r="F29" s="48"/>
      <c r="G29" s="48"/>
      <c r="H29" s="4">
        <f>H11</f>
        <v>4936.8035010000003</v>
      </c>
      <c r="I29" s="48"/>
      <c r="J29" s="48"/>
      <c r="K29" s="48"/>
      <c r="L29" s="48"/>
      <c r="M29" s="4">
        <f>M11</f>
        <v>8152.6035009999996</v>
      </c>
      <c r="N29" s="78">
        <f t="shared" si="26"/>
        <v>7.2654874797255147</v>
      </c>
      <c r="O29" s="78">
        <f t="shared" si="26"/>
        <v>6.4397569479770604</v>
      </c>
      <c r="P29" s="78">
        <f t="shared" si="26"/>
        <v>5.8146907793476785</v>
      </c>
      <c r="Q29" s="78">
        <f>IFERROR(IF(OR($H11/Q11&lt;0,$H11/Q11&gt;=100),"NM",$H11/Q11),"N/A")</f>
        <v>10.56819077231996</v>
      </c>
      <c r="R29" s="78">
        <f t="shared" si="28"/>
        <v>9.3671044294698387</v>
      </c>
      <c r="S29" s="78">
        <f t="shared" si="28"/>
        <v>8.4578992957699892</v>
      </c>
      <c r="U29" s="1"/>
      <c r="V29" s="1"/>
      <c r="W29" s="1"/>
      <c r="X29" s="1"/>
      <c r="Y29" s="1"/>
      <c r="Z29" s="1"/>
      <c r="AA29" s="1"/>
    </row>
    <row r="30" spans="1:27" x14ac:dyDescent="0.45">
      <c r="A30" s="1"/>
      <c r="B30" s="1" t="str">
        <f t="shared" si="25"/>
        <v>Genesis Energy, L.P.</v>
      </c>
      <c r="C30" s="1" t="str">
        <f t="shared" si="25"/>
        <v>NYSE:GEL</v>
      </c>
      <c r="D30" s="219"/>
      <c r="E30" s="48"/>
      <c r="F30" s="48"/>
      <c r="G30" s="48"/>
      <c r="H30" s="4">
        <f>H12</f>
        <v>1920.8374239</v>
      </c>
      <c r="I30" s="48"/>
      <c r="J30" s="48"/>
      <c r="K30" s="48"/>
      <c r="L30" s="48"/>
      <c r="M30" s="4">
        <f>M12</f>
        <v>7238.8854239000002</v>
      </c>
      <c r="N30" s="78">
        <f t="shared" si="26"/>
        <v>12.716374895521705</v>
      </c>
      <c r="O30" s="78">
        <f t="shared" si="26"/>
        <v>11.965099874214877</v>
      </c>
      <c r="P30" s="78">
        <f t="shared" si="26"/>
        <v>10.224414440536723</v>
      </c>
      <c r="Q30" s="78">
        <f>IFERROR(IF(OR($H12/Q12&lt;0,$H12/Q12&gt;=100),"NM",$H12/Q12),"N/A")</f>
        <v>10.730875380025802</v>
      </c>
      <c r="R30" s="78">
        <f t="shared" si="28"/>
        <v>10.096902357367521</v>
      </c>
      <c r="S30" s="78">
        <f t="shared" si="28"/>
        <v>8.6280027206318497</v>
      </c>
      <c r="U30" s="1"/>
      <c r="V30" s="1"/>
      <c r="W30" s="1"/>
      <c r="X30" s="1"/>
      <c r="Y30" s="1"/>
      <c r="Z30" s="1"/>
      <c r="AA30" s="1"/>
    </row>
    <row r="31" spans="1:27" x14ac:dyDescent="0.45">
      <c r="A31" s="1"/>
      <c r="B31" s="1" t="str">
        <f t="shared" si="25"/>
        <v>NGL Energy Partners LP</v>
      </c>
      <c r="C31" s="1" t="str">
        <f t="shared" si="25"/>
        <v>NYSE:NGL</v>
      </c>
      <c r="D31" s="219"/>
      <c r="E31" s="48"/>
      <c r="F31" s="48"/>
      <c r="G31" s="48"/>
      <c r="H31" s="4">
        <f>H13</f>
        <v>599.33795764000001</v>
      </c>
      <c r="I31" s="48"/>
      <c r="J31" s="48"/>
      <c r="K31" s="48"/>
      <c r="L31" s="48"/>
      <c r="M31" s="4">
        <f>M13</f>
        <v>4654.2259576400011</v>
      </c>
      <c r="N31" s="78">
        <f t="shared" si="26"/>
        <v>9.2114735220399666</v>
      </c>
      <c r="O31" s="78">
        <f t="shared" si="26"/>
        <v>8.529142150037007</v>
      </c>
      <c r="P31" s="78">
        <f t="shared" si="26"/>
        <v>7.9711608878850519</v>
      </c>
      <c r="Q31" s="78" t="str">
        <f>IFERROR(IF(OR($H13/Q13&lt;0,$H13/Q13&gt;=100),"NM",$H13/Q13),"N/A")</f>
        <v>NM</v>
      </c>
      <c r="R31" s="78" t="str">
        <f t="shared" si="28"/>
        <v>NM</v>
      </c>
      <c r="S31" s="78" t="str">
        <f t="shared" si="28"/>
        <v>NM</v>
      </c>
      <c r="U31" s="1"/>
      <c r="V31" s="1"/>
      <c r="W31" s="1"/>
      <c r="X31" s="1"/>
      <c r="Y31" s="1"/>
      <c r="Z31" s="1"/>
      <c r="AA31" s="1"/>
    </row>
    <row r="32" spans="1:27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U32" s="1"/>
      <c r="V32" s="1"/>
      <c r="W32" s="1"/>
      <c r="X32" s="1"/>
      <c r="Y32" s="1"/>
      <c r="Z32" s="1"/>
      <c r="AA32" s="1"/>
    </row>
    <row r="33" spans="1:27" x14ac:dyDescent="0.45">
      <c r="A33" s="1"/>
      <c r="B33" s="220" t="s">
        <v>167</v>
      </c>
      <c r="C33" s="121"/>
      <c r="D33" s="221"/>
      <c r="E33" s="221"/>
      <c r="F33" s="221"/>
      <c r="G33" s="221"/>
      <c r="H33" s="236">
        <f t="shared" ref="H33" si="29">MAX(H27:H31)</f>
        <v>31966.538042920001</v>
      </c>
      <c r="I33" s="222"/>
      <c r="J33" s="222"/>
      <c r="K33" s="222"/>
      <c r="L33" s="222"/>
      <c r="M33" s="222">
        <f t="shared" ref="M33:S33" si="30">MAX(M27:M31)</f>
        <v>44060.538042920001</v>
      </c>
      <c r="N33" s="237">
        <f t="shared" si="30"/>
        <v>12.716374895521705</v>
      </c>
      <c r="O33" s="237">
        <f t="shared" si="30"/>
        <v>11.965099874214877</v>
      </c>
      <c r="P33" s="237">
        <f t="shared" si="30"/>
        <v>11.64202864837328</v>
      </c>
      <c r="Q33" s="237">
        <f t="shared" si="30"/>
        <v>12.399262264039409</v>
      </c>
      <c r="R33" s="237">
        <f t="shared" si="30"/>
        <v>12.913384538362184</v>
      </c>
      <c r="S33" s="242">
        <f t="shared" si="30"/>
        <v>12.973880681390172</v>
      </c>
      <c r="U33" s="1"/>
      <c r="V33" s="1"/>
      <c r="W33" s="1"/>
      <c r="X33" s="1"/>
      <c r="Y33" s="1"/>
      <c r="Z33" s="1"/>
      <c r="AA33" s="1"/>
    </row>
    <row r="34" spans="1:27" x14ac:dyDescent="0.45">
      <c r="A34" s="1"/>
      <c r="B34" s="223" t="s">
        <v>168</v>
      </c>
      <c r="C34" s="1"/>
      <c r="D34" s="199"/>
      <c r="E34" s="199"/>
      <c r="F34" s="199"/>
      <c r="G34" s="199"/>
      <c r="H34" s="4">
        <f t="shared" ref="H34" si="31">QUARTILE(H27:H31,3)</f>
        <v>14075.519</v>
      </c>
      <c r="I34" s="122"/>
      <c r="J34" s="122"/>
      <c r="K34" s="122"/>
      <c r="L34" s="122"/>
      <c r="M34" s="122">
        <f t="shared" ref="M34:S34" si="32">QUARTILE(M27:M31,3)</f>
        <v>23738.519</v>
      </c>
      <c r="N34" s="78">
        <f t="shared" si="32"/>
        <v>11.126398495686869</v>
      </c>
      <c r="O34" s="78">
        <f t="shared" si="32"/>
        <v>11.58774282229364</v>
      </c>
      <c r="P34" s="78">
        <f t="shared" si="32"/>
        <v>10.224414440536723</v>
      </c>
      <c r="Q34" s="78">
        <f t="shared" si="32"/>
        <v>11.147972101029204</v>
      </c>
      <c r="R34" s="78">
        <f t="shared" si="32"/>
        <v>10.801022902616186</v>
      </c>
      <c r="S34" s="243">
        <f t="shared" si="32"/>
        <v>9.7144722108214303</v>
      </c>
      <c r="U34" s="1"/>
      <c r="V34" s="1"/>
      <c r="W34" s="1"/>
      <c r="X34" s="1"/>
      <c r="Y34" s="1"/>
      <c r="Z34" s="1"/>
      <c r="AA34" s="1"/>
    </row>
    <row r="35" spans="1:27" x14ac:dyDescent="0.45">
      <c r="A35" s="1"/>
      <c r="B35" s="224" t="s">
        <v>169</v>
      </c>
      <c r="C35" s="225"/>
      <c r="D35" s="227"/>
      <c r="E35" s="227"/>
      <c r="F35" s="227"/>
      <c r="G35" s="227"/>
      <c r="H35" s="228">
        <f t="shared" ref="H35" si="33">MEDIAN(H27:H31)</f>
        <v>4936.8035010000003</v>
      </c>
      <c r="I35" s="229"/>
      <c r="J35" s="229"/>
      <c r="K35" s="229"/>
      <c r="L35" s="229"/>
      <c r="M35" s="228">
        <f t="shared" ref="M35:S35" si="34">MEDIAN(M27:M31)</f>
        <v>8152.6035009999996</v>
      </c>
      <c r="N35" s="238">
        <f t="shared" si="34"/>
        <v>9.2114735220399666</v>
      </c>
      <c r="O35" s="238">
        <f t="shared" si="34"/>
        <v>8.529142150037007</v>
      </c>
      <c r="P35" s="238">
        <f t="shared" si="34"/>
        <v>8.0841134121077509</v>
      </c>
      <c r="Q35" s="238">
        <f t="shared" si="34"/>
        <v>10.649533076172881</v>
      </c>
      <c r="R35" s="238">
        <f t="shared" si="34"/>
        <v>9.7320033934186796</v>
      </c>
      <c r="S35" s="244">
        <f t="shared" si="34"/>
        <v>8.5429510082009195</v>
      </c>
      <c r="U35" s="1"/>
      <c r="V35" s="1"/>
      <c r="W35" s="1"/>
      <c r="X35" s="1"/>
      <c r="Y35" s="1"/>
      <c r="Z35" s="1"/>
      <c r="AA35" s="1"/>
    </row>
    <row r="36" spans="1:27" x14ac:dyDescent="0.45">
      <c r="A36" s="1"/>
      <c r="B36" s="223" t="s">
        <v>170</v>
      </c>
      <c r="C36" s="2"/>
      <c r="D36" s="199"/>
      <c r="E36" s="199"/>
      <c r="F36" s="199"/>
      <c r="G36" s="199"/>
      <c r="H36" s="4">
        <f t="shared" ref="H36" si="35">QUARTILE(H27:H31,1)</f>
        <v>1920.8374239</v>
      </c>
      <c r="I36" s="122"/>
      <c r="J36" s="122"/>
      <c r="K36" s="122"/>
      <c r="L36" s="122"/>
      <c r="M36" s="122">
        <f t="shared" ref="M36:S36" si="36">QUARTILE(M27:M31,1)</f>
        <v>7238.8854239000002</v>
      </c>
      <c r="N36" s="78">
        <f t="shared" si="36"/>
        <v>8.5605910566173815</v>
      </c>
      <c r="O36" s="78">
        <f t="shared" si="36"/>
        <v>8.0760292986956426</v>
      </c>
      <c r="P36" s="78">
        <f t="shared" si="36"/>
        <v>7.9711608878850519</v>
      </c>
      <c r="Q36" s="78">
        <f t="shared" si="36"/>
        <v>9.9720033990074128</v>
      </c>
      <c r="R36" s="78">
        <f t="shared" si="36"/>
        <v>8.9553852275433616</v>
      </c>
      <c r="S36" s="243">
        <f t="shared" si="36"/>
        <v>8.2754133661628106</v>
      </c>
      <c r="U36" s="1"/>
      <c r="V36" s="1"/>
      <c r="W36" s="1"/>
      <c r="X36" s="1"/>
      <c r="Y36" s="1"/>
      <c r="Z36" s="1"/>
      <c r="AA36" s="1"/>
    </row>
    <row r="37" spans="1:27" x14ac:dyDescent="0.45">
      <c r="A37" s="1"/>
      <c r="B37" s="230" t="s">
        <v>171</v>
      </c>
      <c r="C37" s="231"/>
      <c r="D37" s="232"/>
      <c r="E37" s="232"/>
      <c r="F37" s="232"/>
      <c r="G37" s="232"/>
      <c r="H37" s="239">
        <f t="shared" ref="H37" si="37">MIN(H27:H31)</f>
        <v>599.33795764000001</v>
      </c>
      <c r="I37" s="233"/>
      <c r="J37" s="233"/>
      <c r="K37" s="233"/>
      <c r="L37" s="233"/>
      <c r="M37" s="233">
        <f t="shared" ref="M37:S37" si="38">MIN(M27:M31)</f>
        <v>4654.2259576400011</v>
      </c>
      <c r="N37" s="240">
        <f t="shared" si="38"/>
        <v>7.2654874797255147</v>
      </c>
      <c r="O37" s="240">
        <f t="shared" si="38"/>
        <v>6.4397569479770604</v>
      </c>
      <c r="P37" s="240">
        <f t="shared" si="38"/>
        <v>5.8146907793476785</v>
      </c>
      <c r="Q37" s="240">
        <f t="shared" si="38"/>
        <v>8.1834412790697684</v>
      </c>
      <c r="R37" s="240">
        <f t="shared" si="38"/>
        <v>7.7202276217639305</v>
      </c>
      <c r="S37" s="245">
        <f t="shared" si="38"/>
        <v>7.7279555773412723</v>
      </c>
      <c r="U37" s="1"/>
      <c r="V37" s="1"/>
      <c r="W37" s="1"/>
      <c r="X37" s="1"/>
      <c r="Y37" s="1"/>
      <c r="Z37" s="1"/>
      <c r="AA37" s="1"/>
    </row>
    <row r="38" spans="1:27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U38" s="1"/>
      <c r="V38" s="1"/>
      <c r="W38" s="1"/>
      <c r="X38" s="1"/>
      <c r="Y38" s="1"/>
      <c r="Z38" s="1"/>
      <c r="AA38" s="1"/>
    </row>
    <row r="39" spans="1:27" x14ac:dyDescent="0.45">
      <c r="A39" s="1"/>
      <c r="B39" s="175" t="str">
        <f>Company_Name</f>
        <v>Western Midstream Partners, LP</v>
      </c>
      <c r="C39" s="176" t="str">
        <f>Ticker</f>
        <v>NYSE:WES</v>
      </c>
      <c r="D39" s="234"/>
      <c r="E39" s="235"/>
      <c r="F39" s="235"/>
      <c r="G39" s="235"/>
      <c r="H39" s="235">
        <f>H21</f>
        <v>15665.3568</v>
      </c>
      <c r="I39" s="235"/>
      <c r="J39" s="235"/>
      <c r="K39" s="235"/>
      <c r="L39" s="235"/>
      <c r="M39" s="235">
        <f>M21</f>
        <v>22146.928799999998</v>
      </c>
      <c r="N39" s="241">
        <f t="shared" ref="N39:P39" si="39">IFERROR(IF(OR($M21/N21&lt;0,$M21/N21&gt;=100),"NM",$M21/N21),"N/A")</f>
        <v>9.9427366205630836</v>
      </c>
      <c r="O39" s="241">
        <f t="shared" si="39"/>
        <v>9.0521602267561612</v>
      </c>
      <c r="P39" s="241">
        <f t="shared" si="39"/>
        <v>8.3892482543771241</v>
      </c>
      <c r="Q39" s="241">
        <f t="shared" ref="Q39:S39" si="40">IFERROR($H21/Q21,"N/A")</f>
        <v>9.6720450615039155</v>
      </c>
      <c r="R39" s="241">
        <f t="shared" si="40"/>
        <v>8.6971583860070805</v>
      </c>
      <c r="S39" s="260">
        <f t="shared" si="40"/>
        <v>8.0764051395715466</v>
      </c>
      <c r="U39" s="1"/>
      <c r="V39" s="1"/>
      <c r="W39" s="1"/>
      <c r="X39" s="1"/>
      <c r="Y39" s="1"/>
      <c r="Z39" s="1"/>
      <c r="AA39" s="1"/>
    </row>
  </sheetData>
  <pageMargins left="0.7" right="0.7" top="0.75" bottom="0.75" header="0.3" footer="0.3"/>
  <pageSetup scale="29" orientation="portrait" horizontalDpi="1200" verticalDpi="1200" r:id="rId1"/>
  <ignoredErrors>
    <ignoredError sqref="AA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9D71-8BB2-4A5B-BE60-4638256AA599}">
  <sheetPr>
    <pageSetUpPr autoPageBreaks="0"/>
  </sheetPr>
  <dimension ref="B1:Y49"/>
  <sheetViews>
    <sheetView showGridLines="0" zoomScaleNormal="100" workbookViewId="0">
      <selection activeCell="B2" sqref="B2"/>
    </sheetView>
  </sheetViews>
  <sheetFormatPr defaultColWidth="9.15234375" defaultRowHeight="15.9" outlineLevelRow="1" outlineLevelCol="1" x14ac:dyDescent="0.45"/>
  <cols>
    <col min="1" max="1" width="2.53515625" style="40" customWidth="1"/>
    <col min="2" max="2" width="36.15234375" style="40" bestFit="1" customWidth="1"/>
    <col min="3" max="3" width="15.23046875" style="40" hidden="1" customWidth="1" outlineLevel="1"/>
    <col min="4" max="4" width="12.23046875" style="40" customWidth="1" collapsed="1"/>
    <col min="5" max="12" width="12.23046875" style="40" customWidth="1"/>
    <col min="13" max="13" width="2.53515625" style="40" customWidth="1"/>
    <col min="14" max="14" width="2.53515625" style="39" customWidth="1"/>
    <col min="15" max="24" width="12.23046875" style="40" customWidth="1"/>
    <col min="25" max="16384" width="9.15234375" style="40"/>
  </cols>
  <sheetData>
    <row r="1" spans="2:21" ht="15.75" customHeight="1" x14ac:dyDescent="0.45"/>
    <row r="2" spans="2:21" ht="15.75" customHeight="1" x14ac:dyDescent="0.5">
      <c r="B2" s="151" t="str">
        <f>"WACC Analysis - "&amp;Company_Name</f>
        <v>WACC Analysis - Western Midstream Partners, LP</v>
      </c>
      <c r="C2" s="152"/>
    </row>
    <row r="3" spans="2:21" ht="15.75" customHeight="1" x14ac:dyDescent="0.45">
      <c r="B3" s="40" t="str">
        <f>WES!$B$3</f>
        <v>($ in Millions USD Except Per Share Amounts in USD as Stated and Per Unit Figures)</v>
      </c>
    </row>
    <row r="4" spans="2:21" ht="15.75" customHeight="1" x14ac:dyDescent="0.45"/>
    <row r="5" spans="2:21" ht="15.75" customHeight="1" x14ac:dyDescent="0.45">
      <c r="B5" s="153" t="s">
        <v>124</v>
      </c>
      <c r="C5" s="153"/>
      <c r="D5" s="154"/>
      <c r="E5" s="154"/>
      <c r="F5" s="154"/>
      <c r="G5" s="155"/>
      <c r="H5" s="155"/>
      <c r="N5" s="40"/>
    </row>
    <row r="6" spans="2:21" ht="15.75" customHeight="1" x14ac:dyDescent="0.45">
      <c r="B6" s="1" t="s">
        <v>3</v>
      </c>
      <c r="C6" s="1"/>
      <c r="F6" s="156">
        <v>4.2299999999999997E-2</v>
      </c>
      <c r="G6" s="157"/>
      <c r="H6" s="157"/>
      <c r="N6" s="40"/>
    </row>
    <row r="7" spans="2:21" ht="15.75" customHeight="1" x14ac:dyDescent="0.45">
      <c r="B7" s="1" t="s">
        <v>4</v>
      </c>
      <c r="C7" s="1"/>
      <c r="F7" s="156">
        <v>5.5E-2</v>
      </c>
      <c r="G7" s="157"/>
      <c r="H7" s="157"/>
    </row>
    <row r="8" spans="2:21" ht="15.75" customHeight="1" x14ac:dyDescent="0.45">
      <c r="B8" s="1" t="s">
        <v>125</v>
      </c>
      <c r="C8" s="1"/>
      <c r="F8" s="158">
        <f>S29</f>
        <v>5.7132742902783293E-2</v>
      </c>
      <c r="G8" s="157"/>
      <c r="H8" s="157"/>
      <c r="I8" s="159"/>
      <c r="J8" s="159"/>
    </row>
    <row r="9" spans="2:21" ht="15.75" customHeight="1" x14ac:dyDescent="0.45">
      <c r="B9" s="1" t="s">
        <v>126</v>
      </c>
      <c r="C9" s="1"/>
      <c r="F9" s="158">
        <f>MEDIAN(254/2301,87.576/813.589,276.356*(4/3)/(551.097+305.468+42.891))</f>
        <v>0.11038678835289005</v>
      </c>
      <c r="G9" s="157"/>
      <c r="H9" s="157"/>
      <c r="I9" s="159"/>
      <c r="J9" s="159"/>
      <c r="T9" s="70"/>
      <c r="U9" s="70"/>
    </row>
    <row r="10" spans="2:21" ht="15.75" customHeight="1" x14ac:dyDescent="0.45">
      <c r="T10" s="70"/>
      <c r="U10" s="70"/>
    </row>
    <row r="11" spans="2:21" ht="15.75" hidden="1" customHeight="1" outlineLevel="1" x14ac:dyDescent="0.45">
      <c r="B11" s="295" t="s">
        <v>163</v>
      </c>
      <c r="D11" s="295" t="s">
        <v>133</v>
      </c>
      <c r="E11" s="295" t="s">
        <v>134</v>
      </c>
      <c r="G11" s="295" t="s">
        <v>211</v>
      </c>
      <c r="I11" s="295" t="s">
        <v>212</v>
      </c>
      <c r="K11" s="295" t="s">
        <v>139</v>
      </c>
      <c r="T11" s="70"/>
      <c r="U11" s="70"/>
    </row>
    <row r="12" spans="2:21" ht="15.75" customHeight="1" collapsed="1" x14ac:dyDescent="0.45">
      <c r="B12" s="160" t="s">
        <v>127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O12" s="278" t="s">
        <v>193</v>
      </c>
      <c r="P12" s="278"/>
      <c r="Q12" s="279"/>
      <c r="R12" s="279"/>
      <c r="S12" s="279"/>
      <c r="T12" s="70"/>
      <c r="U12" s="70"/>
    </row>
    <row r="13" spans="2:21" ht="15.75" customHeight="1" x14ac:dyDescent="0.45">
      <c r="B13" s="160"/>
      <c r="C13" s="160"/>
      <c r="D13" s="161" t="s">
        <v>128</v>
      </c>
      <c r="E13" s="161"/>
      <c r="F13" s="161"/>
      <c r="G13" s="161"/>
      <c r="H13" s="161"/>
      <c r="I13" s="161" t="s">
        <v>130</v>
      </c>
      <c r="J13" s="161"/>
      <c r="K13" s="161"/>
      <c r="L13" s="161" t="s">
        <v>131</v>
      </c>
      <c r="N13" s="40"/>
      <c r="O13" s="276"/>
      <c r="P13" s="276"/>
      <c r="Q13" s="275"/>
      <c r="R13" s="275"/>
      <c r="S13" s="275"/>
      <c r="T13" s="70"/>
      <c r="U13" s="70"/>
    </row>
    <row r="14" spans="2:21" ht="15.75" customHeight="1" x14ac:dyDescent="0.45">
      <c r="B14" s="162" t="s">
        <v>163</v>
      </c>
      <c r="C14" s="162" t="s">
        <v>132</v>
      </c>
      <c r="D14" s="163" t="s">
        <v>133</v>
      </c>
      <c r="E14" s="163" t="s">
        <v>134</v>
      </c>
      <c r="F14" s="163" t="s">
        <v>135</v>
      </c>
      <c r="G14" s="163" t="s">
        <v>129</v>
      </c>
      <c r="H14" s="163" t="s">
        <v>136</v>
      </c>
      <c r="I14" s="163" t="s">
        <v>137</v>
      </c>
      <c r="J14" s="163" t="s">
        <v>138</v>
      </c>
      <c r="K14" s="163" t="s">
        <v>139</v>
      </c>
      <c r="L14" s="163" t="s">
        <v>133</v>
      </c>
      <c r="O14" s="277" t="s">
        <v>183</v>
      </c>
      <c r="P14" s="277" t="s">
        <v>187</v>
      </c>
      <c r="Q14" s="277" t="s">
        <v>185</v>
      </c>
      <c r="R14" s="277" t="s">
        <v>184</v>
      </c>
      <c r="S14" s="277" t="s">
        <v>186</v>
      </c>
      <c r="T14" s="70"/>
      <c r="U14" s="70"/>
    </row>
    <row r="15" spans="2:21" ht="15.75" customHeight="1" x14ac:dyDescent="0.45">
      <c r="B15" s="1" t="str">
        <f>INDEX(Pub_Comps_Op_Range,MATCH(WACC!$C15,Pub_Comps_Op_Tickers,0),MATCH(WACC!B$11,Pub_Comps_Op_Params,0))</f>
        <v>Cheniere Energy Partners, L.P.</v>
      </c>
      <c r="C15" s="1" t="s">
        <v>204</v>
      </c>
      <c r="D15" s="164">
        <f>INDEX(Pub_Comps_Op_Range,MATCH(WACC!$C15,Pub_Comps_Op_Tickers,0),MATCH(WACC!D$11,Pub_Comps_Op_Params,0))</f>
        <v>0.55000000000000004</v>
      </c>
      <c r="E15" s="165">
        <f>INDEX(Pub_Comps_Op_Range,MATCH(WACC!$C15,Pub_Comps_Op_Tickers,0),MATCH(WACC!E$11,Pub_Comps_Op_Params,0))</f>
        <v>14803</v>
      </c>
      <c r="F15" s="166">
        <f>E15/($E15+$G15+$I15)</f>
        <v>0.31650943369197737</v>
      </c>
      <c r="G15" s="165">
        <f>INDEX(Pub_Comps_Op_Range,MATCH(WACC!$C15,Pub_Comps_Op_Tickers,0),MATCH(WACC!G$11,Pub_Comps_Op_Params,0))</f>
        <v>0</v>
      </c>
      <c r="H15" s="166">
        <f>G15/($E15+$G15+$I15)</f>
        <v>0</v>
      </c>
      <c r="I15" s="165">
        <f>INDEX(Pub_Comps_Op_Range,MATCH(WACC!$C15,Pub_Comps_Op_Tickers,0),MATCH(WACC!I$11,Pub_Comps_Op_Params,0))</f>
        <v>31966.538042920001</v>
      </c>
      <c r="J15" s="166">
        <f>I15/($E15+$G15+$I15)</f>
        <v>0.68349056630802263</v>
      </c>
      <c r="K15" s="267">
        <f>INDEX(Pub_Comps_Op_Range,MATCH(WACC!$C15,Pub_Comps_Op_Tickers,0),MATCH(WACC!K$11,Pub_Comps_Op_Params,0))</f>
        <v>0</v>
      </c>
      <c r="L15" s="167">
        <f>D15/(1+E15/I15*(1-K15)+G15/I15)</f>
        <v>0.37591981146941245</v>
      </c>
      <c r="O15" s="274">
        <v>45838</v>
      </c>
      <c r="P15" s="273">
        <v>3.1E-2</v>
      </c>
      <c r="Q15" s="48">
        <v>663.83100000000002</v>
      </c>
      <c r="R15" s="48">
        <v>662.45699999999999</v>
      </c>
      <c r="S15" s="272">
        <f t="shared" ref="S15:S19" si="0">YIELD(Val_Date,O15,P15,R15/Q15*100,100,2)</f>
        <v>3.905736216790627E-2</v>
      </c>
      <c r="T15" s="70"/>
      <c r="U15" s="70"/>
    </row>
    <row r="16" spans="2:21" ht="15.75" customHeight="1" x14ac:dyDescent="0.45">
      <c r="B16" s="1" t="str">
        <f>INDEX(Pub_Comps_Op_Range,MATCH(WACC!$C16,Pub_Comps_Op_Tickers,0),MATCH(WACC!B$11,Pub_Comps_Op_Params,0))</f>
        <v>Plains All American Pipeline, L.P.</v>
      </c>
      <c r="C16" s="1" t="s">
        <v>202</v>
      </c>
      <c r="D16" s="164">
        <f>INDEX(Pub_Comps_Op_Range,MATCH(WACC!$C16,Pub_Comps_Op_Tickers,0),MATCH(WACC!D$11,Pub_Comps_Op_Params,0))</f>
        <v>1.1399999999999999</v>
      </c>
      <c r="E16" s="168">
        <f>INDEX(Pub_Comps_Op_Range,MATCH(WACC!$C16,Pub_Comps_Op_Tickers,0),MATCH(WACC!E$11,Pub_Comps_Op_Params,0))</f>
        <v>7108</v>
      </c>
      <c r="F16" s="166">
        <f t="shared" ref="F16:H19" si="1">E16/($E16+$G16+$I16)</f>
        <v>0.30266747213345097</v>
      </c>
      <c r="G16" s="168">
        <f>INDEX(Pub_Comps_Op_Range,MATCH(WACC!$C16,Pub_Comps_Op_Tickers,0),MATCH(WACC!G$11,Pub_Comps_Op_Params,0))</f>
        <v>2301</v>
      </c>
      <c r="H16" s="166">
        <f t="shared" si="1"/>
        <v>9.7979439136053836E-2</v>
      </c>
      <c r="I16" s="168">
        <f>INDEX(Pub_Comps_Op_Range,MATCH(WACC!$C16,Pub_Comps_Op_Tickers,0),MATCH(WACC!I$11,Pub_Comps_Op_Params,0))</f>
        <v>14075.519</v>
      </c>
      <c r="J16" s="166">
        <f t="shared" ref="J16" si="2">I16/($E16+$G16+$I16)</f>
        <v>0.5993530887304952</v>
      </c>
      <c r="K16" s="267">
        <f>INDEX(Pub_Comps_Op_Range,MATCH(WACC!$C16,Pub_Comps_Op_Tickers,0),MATCH(WACC!K$11,Pub_Comps_Op_Params,0))</f>
        <v>0.15234375</v>
      </c>
      <c r="L16" s="167">
        <f t="shared" ref="L16:L19" si="3">D16/(1+E16/I16*(1-K16)+G16/I16)</f>
        <v>0.71629030744189781</v>
      </c>
      <c r="O16" s="274">
        <v>45838</v>
      </c>
      <c r="P16" s="273">
        <v>3.95E-2</v>
      </c>
      <c r="Q16" s="48">
        <v>336.75799999999998</v>
      </c>
      <c r="R16" s="48">
        <v>335.209</v>
      </c>
      <c r="S16" s="272">
        <f t="shared" si="0"/>
        <v>5.7595139784949644E-2</v>
      </c>
      <c r="T16" s="70"/>
      <c r="U16" s="70"/>
    </row>
    <row r="17" spans="2:25" ht="15.75" customHeight="1" x14ac:dyDescent="0.45">
      <c r="B17" s="1" t="str">
        <f>INDEX(Pub_Comps_Op_Range,MATCH(WACC!$C17,Pub_Comps_Op_Tickers,0),MATCH(WACC!B$11,Pub_Comps_Op_Params,0))</f>
        <v>Hess Midstream LP</v>
      </c>
      <c r="C17" s="1" t="s">
        <v>206</v>
      </c>
      <c r="D17" s="164">
        <f>INDEX(Pub_Comps_Op_Range,MATCH(WACC!$C17,Pub_Comps_Op_Tickers,0),MATCH(WACC!D$11,Pub_Comps_Op_Params,0))</f>
        <v>1.1000000000000001</v>
      </c>
      <c r="E17" s="168">
        <f>INDEX(Pub_Comps_Op_Range,MATCH(WACC!$C17,Pub_Comps_Op_Tickers,0),MATCH(WACC!E$11,Pub_Comps_Op_Params,0))</f>
        <v>3421.2</v>
      </c>
      <c r="F17" s="166">
        <f t="shared" si="1"/>
        <v>0.40933220470542614</v>
      </c>
      <c r="G17" s="168">
        <f>INDEX(Pub_Comps_Op_Range,MATCH(WACC!$C17,Pub_Comps_Op_Tickers,0),MATCH(WACC!G$11,Pub_Comps_Op_Params,0))</f>
        <v>0</v>
      </c>
      <c r="H17" s="166">
        <f t="shared" si="1"/>
        <v>0</v>
      </c>
      <c r="I17" s="4">
        <f>INDEX(Pub_Comps_Op_Range,MATCH(WACC!$C17,Pub_Comps_Op_Tickers,0),MATCH(WACC!I$11,Pub_Comps_Op_Params,0))</f>
        <v>4936.8035010000003</v>
      </c>
      <c r="J17" s="166">
        <f t="shared" ref="J17" si="4">I17/($E17+$G17+$I17)</f>
        <v>0.59066779529457403</v>
      </c>
      <c r="K17" s="267">
        <f>INDEX(Pub_Comps_Op_Range,MATCH(WACC!$C17,Pub_Comps_Op_Tickers,0),MATCH(WACC!K$11,Pub_Comps_Op_Params,0))</f>
        <v>9.8248494800218938E-2</v>
      </c>
      <c r="L17" s="167">
        <f t="shared" si="3"/>
        <v>0.67695935713052391</v>
      </c>
      <c r="O17" s="274">
        <v>47483</v>
      </c>
      <c r="P17" s="273">
        <v>7.0000000000000007E-2</v>
      </c>
      <c r="Q17" s="4">
        <f>10.956+23.329</f>
        <v>34.284999999999997</v>
      </c>
      <c r="R17" s="4">
        <f>Q17</f>
        <v>34.284999999999997</v>
      </c>
      <c r="S17" s="272">
        <f t="shared" si="0"/>
        <v>6.9962233436428059E-2</v>
      </c>
      <c r="T17" s="70"/>
      <c r="U17" s="70"/>
    </row>
    <row r="18" spans="2:25" ht="15.75" customHeight="1" x14ac:dyDescent="0.45">
      <c r="B18" s="1" t="str">
        <f>INDEX(Pub_Comps_Op_Range,MATCH(WACC!$C18,Pub_Comps_Op_Tickers,0),MATCH(WACC!B$11,Pub_Comps_Op_Params,0))</f>
        <v>Genesis Energy, L.P.</v>
      </c>
      <c r="C18" s="1" t="s">
        <v>208</v>
      </c>
      <c r="D18" s="164">
        <f>INDEX(Pub_Comps_Op_Range,MATCH(WACC!$C18,Pub_Comps_Op_Tickers,0),MATCH(WACC!D$11,Pub_Comps_Op_Params,0))</f>
        <v>1.36</v>
      </c>
      <c r="E18" s="168">
        <f>INDEX(Pub_Comps_Op_Range,MATCH(WACC!$C18,Pub_Comps_Op_Tickers,0),MATCH(WACC!E$11,Pub_Comps_Op_Params,0))</f>
        <v>4107.1530000000002</v>
      </c>
      <c r="F18" s="166">
        <f t="shared" si="1"/>
        <v>0.6003223445235899</v>
      </c>
      <c r="G18" s="168">
        <f>INDEX(Pub_Comps_Op_Range,MATCH(WACC!$C18,Pub_Comps_Op_Tickers,0),MATCH(WACC!G$11,Pub_Comps_Op_Params,0))</f>
        <v>813.58900000000006</v>
      </c>
      <c r="H18" s="166">
        <f t="shared" si="1"/>
        <v>0.11891830081776915</v>
      </c>
      <c r="I18" s="4">
        <f>INDEX(Pub_Comps_Op_Range,MATCH(WACC!$C18,Pub_Comps_Op_Tickers,0),MATCH(WACC!I$11,Pub_Comps_Op_Params,0))</f>
        <v>1920.8374239</v>
      </c>
      <c r="J18" s="166">
        <f t="shared" ref="J18" si="5">I18/($E18+$G18+$I18)</f>
        <v>0.28075935465864083</v>
      </c>
      <c r="K18" s="267">
        <f>INDEX(Pub_Comps_Op_Range,MATCH(WACC!$C18,Pub_Comps_Op_Tickers,0),MATCH(WACC!K$11,Pub_Comps_Op_Params,0))</f>
        <v>1.2E-2</v>
      </c>
      <c r="L18" s="167">
        <f t="shared" si="3"/>
        <v>0.384603354183291</v>
      </c>
      <c r="O18" s="274">
        <v>46203</v>
      </c>
      <c r="P18" s="273">
        <v>4.65E-2</v>
      </c>
      <c r="Q18" s="48">
        <v>440.505</v>
      </c>
      <c r="R18" s="48">
        <v>438.69900000000001</v>
      </c>
      <c r="S18" s="272">
        <f t="shared" si="0"/>
        <v>4.9864088333036544E-2</v>
      </c>
      <c r="T18" s="70"/>
      <c r="U18" s="70"/>
    </row>
    <row r="19" spans="2:25" ht="15.75" customHeight="1" x14ac:dyDescent="0.45">
      <c r="B19" s="1" t="str">
        <f>INDEX(Pub_Comps_Op_Range,MATCH(WACC!$C19,Pub_Comps_Op_Tickers,0),MATCH(WACC!B$11,Pub_Comps_Op_Params,0))</f>
        <v>NGL Energy Partners LP</v>
      </c>
      <c r="C19" s="1" t="s">
        <v>210</v>
      </c>
      <c r="D19" s="164">
        <f>INDEX(Pub_Comps_Op_Range,MATCH(WACC!$C19,Pub_Comps_Op_Tickers,0),MATCH(WACC!D$11,Pub_Comps_Op_Params,0))</f>
        <v>1.2</v>
      </c>
      <c r="E19" s="168">
        <f>INDEX(Pub_Comps_Op_Range,MATCH(WACC!$C19,Pub_Comps_Op_Tickers,0),MATCH(WACC!E$11,Pub_Comps_Op_Params,0))</f>
        <v>3153.6660000000002</v>
      </c>
      <c r="F19" s="166">
        <f t="shared" si="1"/>
        <v>0.67784914404716845</v>
      </c>
      <c r="G19" s="168">
        <f>INDEX(Pub_Comps_Op_Range,MATCH(WACC!$C19,Pub_Comps_Op_Tickers,0),MATCH(WACC!G$11,Pub_Comps_Op_Params,0))</f>
        <v>899.45600000000002</v>
      </c>
      <c r="H19" s="166">
        <f t="shared" si="1"/>
        <v>0.19332912226852494</v>
      </c>
      <c r="I19" s="4">
        <f>INDEX(Pub_Comps_Op_Range,MATCH(WACC!$C19,Pub_Comps_Op_Tickers,0),MATCH(WACC!I$11,Pub_Comps_Op_Params,0))</f>
        <v>599.33795764000001</v>
      </c>
      <c r="J19" s="166">
        <f t="shared" ref="J19" si="6">I19/($E19+$G19+$I19)</f>
        <v>0.12882173368430649</v>
      </c>
      <c r="K19" s="267">
        <f>INDEX(Pub_Comps_Op_Range,MATCH(WACC!$C19,Pub_Comps_Op_Tickers,0),MATCH(WACC!K$11,Pub_Comps_Op_Params,0))</f>
        <v>5.1361749710971709E-3</v>
      </c>
      <c r="L19" s="167">
        <f t="shared" si="3"/>
        <v>0.15512616018460096</v>
      </c>
      <c r="O19" s="274">
        <v>46934</v>
      </c>
      <c r="P19" s="273">
        <v>4.4999999999999998E-2</v>
      </c>
      <c r="Q19" s="48">
        <v>342.935</v>
      </c>
      <c r="R19" s="48">
        <v>336.20699999999999</v>
      </c>
      <c r="S19" s="272">
        <f t="shared" si="0"/>
        <v>5.161013676314645E-2</v>
      </c>
      <c r="T19" s="70"/>
      <c r="U19" s="70"/>
    </row>
    <row r="20" spans="2:25" ht="15.75" customHeight="1" x14ac:dyDescent="0.45">
      <c r="N20" s="40"/>
      <c r="O20" s="274">
        <v>46934</v>
      </c>
      <c r="P20" s="273">
        <v>4.7500000000000001E-2</v>
      </c>
      <c r="Q20" s="48">
        <v>336.26</v>
      </c>
      <c r="R20" s="48">
        <v>330.483</v>
      </c>
      <c r="S20" s="272">
        <f t="shared" ref="S20:S28" si="7">YIELD(Val_Date,O20,P20,R20/Q20*100,100,2)</f>
        <v>5.3300746609944945E-2</v>
      </c>
      <c r="T20" s="70"/>
      <c r="U20" s="70"/>
    </row>
    <row r="21" spans="2:25" ht="15.75" customHeight="1" x14ac:dyDescent="0.45">
      <c r="B21" s="169" t="s">
        <v>140</v>
      </c>
      <c r="C21" s="170"/>
      <c r="D21" s="171">
        <f>MEDIAN(D15:D19)</f>
        <v>1.1399999999999999</v>
      </c>
      <c r="E21" s="172">
        <f t="shared" ref="E21:L21" si="8">MEDIAN(E15:E19)</f>
        <v>4107.1530000000002</v>
      </c>
      <c r="F21" s="173">
        <f t="shared" si="8"/>
        <v>0.40933220470542614</v>
      </c>
      <c r="G21" s="172">
        <f t="shared" si="8"/>
        <v>813.58900000000006</v>
      </c>
      <c r="H21" s="173">
        <f t="shared" si="8"/>
        <v>9.7979439136053836E-2</v>
      </c>
      <c r="I21" s="172">
        <f t="shared" si="8"/>
        <v>4936.8035010000003</v>
      </c>
      <c r="J21" s="173">
        <f t="shared" si="8"/>
        <v>0.59066779529457403</v>
      </c>
      <c r="K21" s="268">
        <f t="shared" si="8"/>
        <v>1.2E-2</v>
      </c>
      <c r="L21" s="174">
        <f t="shared" si="8"/>
        <v>0.384603354183291</v>
      </c>
      <c r="N21" s="40"/>
      <c r="O21" s="274">
        <v>47299</v>
      </c>
      <c r="P21" s="273">
        <v>6.3500000000000001E-2</v>
      </c>
      <c r="Q21" s="48">
        <v>600</v>
      </c>
      <c r="R21" s="48">
        <v>621.93600000000004</v>
      </c>
      <c r="S21" s="272">
        <f t="shared" si="7"/>
        <v>5.3735425227692223E-2</v>
      </c>
      <c r="U21" s="70"/>
    </row>
    <row r="22" spans="2:25" ht="15.75" customHeight="1" x14ac:dyDescent="0.45">
      <c r="O22" s="274">
        <v>47664</v>
      </c>
      <c r="P22" s="273">
        <v>4.0500000000000001E-2</v>
      </c>
      <c r="Q22" s="48">
        <v>1057.134</v>
      </c>
      <c r="R22" s="48">
        <v>992.32100000000003</v>
      </c>
      <c r="S22" s="272">
        <f t="shared" si="7"/>
        <v>5.4054566911695676E-2</v>
      </c>
    </row>
    <row r="23" spans="2:25" ht="15.75" customHeight="1" x14ac:dyDescent="0.45">
      <c r="B23" s="175" t="str">
        <f>Company_Name</f>
        <v>Western Midstream Partners, LP</v>
      </c>
      <c r="C23" s="176" t="str">
        <f>Ticker</f>
        <v>NYSE:WES</v>
      </c>
      <c r="D23" s="177">
        <f>INDEX(Pub_Comps_Op_Range,MATCH(WACC!$C23,Pub_Comps_Op_Tickers,0),MATCH(WACC!D$11,Pub_Comps_Op_Params,0))</f>
        <v>2.33</v>
      </c>
      <c r="E23" s="178"/>
      <c r="F23" s="178"/>
      <c r="G23" s="178"/>
      <c r="H23" s="178"/>
      <c r="I23" s="178"/>
      <c r="J23" s="178"/>
      <c r="K23" s="179"/>
      <c r="L23" s="180"/>
      <c r="O23" s="274">
        <v>48760</v>
      </c>
      <c r="P23" s="273">
        <v>6.1499999999999999E-2</v>
      </c>
      <c r="Q23" s="48">
        <v>750</v>
      </c>
      <c r="R23" s="48">
        <v>764.76</v>
      </c>
      <c r="S23" s="272">
        <f t="shared" si="7"/>
        <v>5.8442304287208639E-2</v>
      </c>
    </row>
    <row r="24" spans="2:25" ht="15.75" customHeight="1" x14ac:dyDescent="0.45">
      <c r="F24" s="282"/>
      <c r="I24" s="80"/>
      <c r="O24" s="274">
        <v>49125</v>
      </c>
      <c r="P24" s="273">
        <v>5.45E-2</v>
      </c>
      <c r="Q24" s="48">
        <v>800</v>
      </c>
      <c r="R24" s="48">
        <v>772.53599999999994</v>
      </c>
      <c r="S24" s="272">
        <f t="shared" si="7"/>
        <v>5.9362414567495185E-2</v>
      </c>
    </row>
    <row r="25" spans="2:25" ht="15.75" customHeight="1" x14ac:dyDescent="0.45">
      <c r="B25" s="160" t="str">
        <f>TEXT(Company_Name,"")&amp; " - Levered Beta &amp; WACC Calculation:"</f>
        <v>Western Midstream Partners, LP - Levered Beta &amp; WACC Calculation:</v>
      </c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O25" s="274">
        <v>52778</v>
      </c>
      <c r="P25" s="273">
        <v>5.45E-2</v>
      </c>
      <c r="Q25" s="48">
        <v>600</v>
      </c>
      <c r="R25" s="48">
        <v>534.096</v>
      </c>
      <c r="S25" s="272">
        <f t="shared" si="7"/>
        <v>6.4536932927843793E-2</v>
      </c>
    </row>
    <row r="26" spans="2:25" ht="15.75" customHeight="1" x14ac:dyDescent="0.45">
      <c r="B26" s="160"/>
      <c r="C26" s="160"/>
      <c r="D26" s="161" t="s">
        <v>131</v>
      </c>
      <c r="E26" s="161"/>
      <c r="F26" s="161"/>
      <c r="G26" s="161"/>
      <c r="H26" s="161"/>
      <c r="I26" s="161" t="s">
        <v>130</v>
      </c>
      <c r="J26" s="161"/>
      <c r="K26" s="161"/>
      <c r="L26" s="161" t="s">
        <v>128</v>
      </c>
      <c r="O26" s="274">
        <v>54239</v>
      </c>
      <c r="P26" s="273">
        <v>5.2999999999999999E-2</v>
      </c>
      <c r="Q26" s="48">
        <v>700</v>
      </c>
      <c r="R26" s="48">
        <v>595.82600000000002</v>
      </c>
      <c r="S26" s="272">
        <f t="shared" si="7"/>
        <v>6.5549373069500316E-2</v>
      </c>
    </row>
    <row r="27" spans="2:25" ht="15.75" customHeight="1" x14ac:dyDescent="0.45">
      <c r="B27" s="162"/>
      <c r="C27" s="162" t="s">
        <v>132</v>
      </c>
      <c r="D27" s="163" t="s">
        <v>133</v>
      </c>
      <c r="E27" s="163" t="s">
        <v>134</v>
      </c>
      <c r="F27" s="163" t="s">
        <v>135</v>
      </c>
      <c r="G27" s="163" t="s">
        <v>129</v>
      </c>
      <c r="H27" s="163" t="s">
        <v>136</v>
      </c>
      <c r="I27" s="163" t="s">
        <v>137</v>
      </c>
      <c r="J27" s="163" t="s">
        <v>138</v>
      </c>
      <c r="K27" s="163" t="s">
        <v>139</v>
      </c>
      <c r="L27" s="163" t="s">
        <v>133</v>
      </c>
      <c r="O27" s="274">
        <v>54239</v>
      </c>
      <c r="P27" s="273">
        <v>5.5E-2</v>
      </c>
      <c r="Q27" s="48">
        <v>350</v>
      </c>
      <c r="R27" s="48">
        <v>304.00299999999999</v>
      </c>
      <c r="S27" s="272">
        <f t="shared" si="7"/>
        <v>6.6138001322568848E-2</v>
      </c>
      <c r="Y27" s="1"/>
    </row>
    <row r="28" spans="2:25" ht="15.75" customHeight="1" x14ac:dyDescent="0.45">
      <c r="B28" s="121" t="s">
        <v>141</v>
      </c>
      <c r="C28" s="121" t="str">
        <f>Ticker</f>
        <v>NYSE:WES</v>
      </c>
      <c r="D28" s="181">
        <f>L21</f>
        <v>0.384603354183291</v>
      </c>
      <c r="E28" s="165">
        <f>INDEX(Pub_Comps_Op_Range,MATCH(WACC!$C28,Pub_Comps_Op_Tickers,0),MATCH(WACC!E$11,Pub_Comps_Op_Params,0))</f>
        <v>7580.0780000000004</v>
      </c>
      <c r="F28" s="182">
        <f t="shared" ref="F28:J28" si="9">E28/($E28+$G28+$I28)</f>
        <v>0.32608888864492225</v>
      </c>
      <c r="G28" s="165">
        <f>INDEX(Pub_Comps_Op_Range,MATCH(WACC!$C28,Pub_Comps_Op_Tickers,0),MATCH(WACC!G$11,Pub_Comps_Op_Params,0))</f>
        <v>0</v>
      </c>
      <c r="H28" s="182">
        <f t="shared" si="9"/>
        <v>0</v>
      </c>
      <c r="I28" s="165">
        <f>INDEX(Pub_Comps_Op_Range,MATCH(WACC!$C28,Pub_Comps_Op_Tickers,0),MATCH(WACC!I$11,Pub_Comps_Op_Params,0))</f>
        <v>15665.3568</v>
      </c>
      <c r="J28" s="182">
        <f t="shared" si="9"/>
        <v>0.67391111135507775</v>
      </c>
      <c r="K28" s="183">
        <f>INDEX(Pub_Comps_Op_Range,MATCH(WACC!$C28,Pub_Comps_Op_Tickers,0),MATCH(WACC!K$11,Pub_Comps_Op_Params,0))</f>
        <v>0.01</v>
      </c>
      <c r="L28" s="167">
        <f>D28*(1+E28/I28*(1-K28)+G28/I28)</f>
        <v>0.56884238725359193</v>
      </c>
      <c r="O28" s="274">
        <v>54969</v>
      </c>
      <c r="P28" s="273">
        <v>5.2499999999999998E-2</v>
      </c>
      <c r="Q28" s="48">
        <v>1000</v>
      </c>
      <c r="R28" s="48">
        <v>857.26</v>
      </c>
      <c r="S28" s="272">
        <f t="shared" si="7"/>
        <v>6.3961017884844651E-2</v>
      </c>
    </row>
    <row r="29" spans="2:25" ht="15.75" customHeight="1" x14ac:dyDescent="0.45">
      <c r="B29" s="1" t="s">
        <v>142</v>
      </c>
      <c r="C29" s="1" t="str">
        <f>Ticker</f>
        <v>NYSE:WES</v>
      </c>
      <c r="D29" s="184">
        <f>L21</f>
        <v>0.384603354183291</v>
      </c>
      <c r="E29" s="4">
        <f>($E$28+$G$28+$I$28)*F29</f>
        <v>7237.5304118425256</v>
      </c>
      <c r="F29" s="185">
        <f>1-H29-J29</f>
        <v>0.31135276556937219</v>
      </c>
      <c r="G29" s="4">
        <f>($E$28+$G$28+$I$28)*H29</f>
        <v>2277.5746641777077</v>
      </c>
      <c r="H29" s="185">
        <f>H21</f>
        <v>9.7979439136053836E-2</v>
      </c>
      <c r="I29" s="4">
        <f>($E$28+$G$28+$I$28)*J29</f>
        <v>13730.329723979767</v>
      </c>
      <c r="J29" s="185">
        <f>J21</f>
        <v>0.59066779529457403</v>
      </c>
      <c r="K29" s="186">
        <f>INDEX(Pub_Comps_Op_Range,MATCH(WACC!$C29,Pub_Comps_Op_Tickers,0),MATCH(WACC!K$11,Pub_Comps_Op_Params,0))</f>
        <v>0.01</v>
      </c>
      <c r="L29" s="167">
        <f>D29*(1+E29/I29*(1-K29)+G29/I29)</f>
        <v>0.64910578172347977</v>
      </c>
      <c r="O29" s="75" t="s">
        <v>188</v>
      </c>
      <c r="P29" s="280">
        <f>SUMPRODUCT(P15:P28,Q15:Q28)/Q29</f>
        <v>4.9971552445496024E-2</v>
      </c>
      <c r="Q29" s="76">
        <f>SUM(Q15:Q28)</f>
        <v>8011.7079999999996</v>
      </c>
      <c r="R29" s="76">
        <f>SUM(R15:R28)</f>
        <v>7580.0779999999995</v>
      </c>
      <c r="S29" s="280">
        <f>SUMPRODUCT(S15:S28,Q15:Q28)/Q29</f>
        <v>5.7132742902783293E-2</v>
      </c>
    </row>
    <row r="30" spans="2:25" ht="15.75" customHeight="1" x14ac:dyDescent="0.45">
      <c r="F30" s="185"/>
    </row>
    <row r="31" spans="2:25" ht="15.75" customHeight="1" x14ac:dyDescent="0.45">
      <c r="B31" s="187" t="s">
        <v>143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9">
        <f>RFR+ERP*L28</f>
        <v>7.3586331298947552E-2</v>
      </c>
    </row>
    <row r="32" spans="2:25" ht="15.75" customHeight="1" x14ac:dyDescent="0.45">
      <c r="B32" s="190" t="s">
        <v>144</v>
      </c>
      <c r="C32" s="191"/>
      <c r="D32" s="191"/>
      <c r="E32" s="191"/>
      <c r="F32" s="191"/>
      <c r="G32" s="191"/>
      <c r="H32" s="191"/>
      <c r="I32" s="191"/>
      <c r="J32" s="191"/>
      <c r="K32" s="191"/>
      <c r="L32" s="192">
        <f>RFR+ERP*L29</f>
        <v>7.8000817994791388E-2</v>
      </c>
    </row>
    <row r="33" spans="2:25" ht="15.75" customHeight="1" x14ac:dyDescent="0.45">
      <c r="B33" s="193" t="s">
        <v>145</v>
      </c>
      <c r="C33" s="194"/>
      <c r="D33" s="194"/>
      <c r="E33" s="194"/>
      <c r="F33" s="194"/>
      <c r="G33" s="194"/>
      <c r="H33" s="194"/>
      <c r="I33" s="194"/>
      <c r="J33" s="194"/>
      <c r="K33" s="194"/>
      <c r="L33" s="195">
        <f>RFR+ERP*D23</f>
        <v>0.17045000000000002</v>
      </c>
    </row>
    <row r="34" spans="2:25" ht="15.75" customHeight="1" x14ac:dyDescent="0.45"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</row>
    <row r="35" spans="2:25" ht="15.75" customHeight="1" x14ac:dyDescent="0.45">
      <c r="B35" s="175" t="s">
        <v>191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97">
        <f>AVERAGE(L31:L33)</f>
        <v>0.10734571643124631</v>
      </c>
    </row>
    <row r="36" spans="2:25" ht="15.75" customHeight="1" x14ac:dyDescent="0.45"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"/>
    </row>
    <row r="37" spans="2:25" ht="15.75" customHeight="1" x14ac:dyDescent="0.45">
      <c r="B37" s="187" t="s">
        <v>146</v>
      </c>
      <c r="C37" s="188"/>
      <c r="D37" s="188"/>
      <c r="E37" s="188"/>
      <c r="F37" s="188"/>
      <c r="G37" s="188"/>
      <c r="H37" s="188"/>
      <c r="I37" s="188"/>
      <c r="J37" s="188"/>
      <c r="K37" s="188"/>
      <c r="L37" s="271">
        <f>L31*J28+Cost_of_Debt*(1-Tax_Rate)*F28+Cost_of_Preferred*H28</f>
        <v>6.8034695418237312E-2</v>
      </c>
    </row>
    <row r="38" spans="2:25" ht="15.75" customHeight="1" x14ac:dyDescent="0.45">
      <c r="B38" s="190" t="s">
        <v>147</v>
      </c>
      <c r="C38" s="191"/>
      <c r="D38" s="191"/>
      <c r="E38" s="191"/>
      <c r="F38" s="191"/>
      <c r="G38" s="191"/>
      <c r="H38" s="191"/>
      <c r="I38" s="191"/>
      <c r="J38" s="191"/>
      <c r="K38" s="191"/>
      <c r="L38" s="271">
        <f>L32*J29+Cost_of_Debt*(1-Tax_Rate)*F29+Cost_of_Preferred*H29</f>
        <v>7.4498759939275253E-2</v>
      </c>
    </row>
    <row r="39" spans="2:25" ht="15.75" customHeight="1" x14ac:dyDescent="0.45">
      <c r="B39" s="193" t="s">
        <v>148</v>
      </c>
      <c r="C39" s="194"/>
      <c r="D39" s="194"/>
      <c r="E39" s="194"/>
      <c r="F39" s="194"/>
      <c r="G39" s="194"/>
      <c r="H39" s="194"/>
      <c r="I39" s="194"/>
      <c r="J39" s="194"/>
      <c r="K39" s="194"/>
      <c r="L39" s="196">
        <f>L33*J28+Cost_of_Debt*(1-Tax_Rate)*F28+Cost_of_Preferred*H28</f>
        <v>0.13331219804249364</v>
      </c>
    </row>
    <row r="40" spans="2:25" ht="15.75" customHeight="1" x14ac:dyDescent="0.45"/>
    <row r="41" spans="2:25" ht="15.75" customHeight="1" x14ac:dyDescent="0.45">
      <c r="B41" s="175" t="s">
        <v>149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97">
        <f>AVERAGE(L37:L39)</f>
        <v>9.1948551133335402E-2</v>
      </c>
    </row>
    <row r="43" spans="2:25" x14ac:dyDescent="0.45">
      <c r="Y43" s="1"/>
    </row>
    <row r="44" spans="2:25" x14ac:dyDescent="0.45">
      <c r="Y44" s="1"/>
    </row>
    <row r="45" spans="2:25" x14ac:dyDescent="0.45">
      <c r="Y45" s="1"/>
    </row>
    <row r="46" spans="2:25" x14ac:dyDescent="0.45">
      <c r="Y46" s="1"/>
    </row>
    <row r="47" spans="2:25" x14ac:dyDescent="0.45">
      <c r="Y47" s="1"/>
    </row>
    <row r="48" spans="2:25" x14ac:dyDescent="0.45">
      <c r="Y48" s="1"/>
    </row>
    <row r="49" spans="25:25" x14ac:dyDescent="0.45">
      <c r="Y49" s="1"/>
    </row>
  </sheetData>
  <pageMargins left="0.7" right="0.7" top="0.75" bottom="0.75" header="0.3" footer="0.3"/>
  <pageSetup scale="54" orientation="portrait" horizontalDpi="1200" verticalDpi="1200" r:id="rId1"/>
  <ignoredErrors>
    <ignoredError sqref="H15:H19 F29:J29 G15:G19 I15:I19 G28:L28 L29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F783B9-BA0F-4C17-9A37-B49E95E6309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WES</vt:lpstr>
      <vt:lpstr>Pub_Comps</vt:lpstr>
      <vt:lpstr>WACC</vt:lpstr>
      <vt:lpstr>Bbl_to_Mcfe</vt:lpstr>
      <vt:lpstr>Company_Name</vt:lpstr>
      <vt:lpstr>Cost_of_Debt</vt:lpstr>
      <vt:lpstr>Cost_of_Equity</vt:lpstr>
      <vt:lpstr>Cost_of_Preferred</vt:lpstr>
      <vt:lpstr>Diluted_Shares</vt:lpstr>
      <vt:lpstr>ERP</vt:lpstr>
      <vt:lpstr>Hist_Year</vt:lpstr>
      <vt:lpstr>Maint_CapEx_Pct</vt:lpstr>
      <vt:lpstr>Pub_Comps!Print_Area</vt:lpstr>
      <vt:lpstr>WACC!Print_Area</vt:lpstr>
      <vt:lpstr>WES!Print_Area</vt:lpstr>
      <vt:lpstr>Pub_Comps_Op_Params</vt:lpstr>
      <vt:lpstr>Pub_Comps_Op_Range</vt:lpstr>
      <vt:lpstr>Pub_Comps_Op_Tickers</vt:lpstr>
      <vt:lpstr>Pub_Comps_Val_Params</vt:lpstr>
      <vt:lpstr>Pub_Comps_Val_Range</vt:lpstr>
      <vt:lpstr>Pub_Comps_Val_Tickers</vt:lpstr>
      <vt:lpstr>RFR</vt:lpstr>
      <vt:lpstr>Share_Price</vt:lpstr>
      <vt:lpstr>Tax_Rate</vt:lpstr>
      <vt:lpstr>Ticker</vt:lpstr>
      <vt:lpstr>Units</vt:lpstr>
      <vt:lpstr>Val_Date</vt:lpstr>
      <vt:lpstr>WACC</vt:lpstr>
    </vt:vector>
  </TitlesOfParts>
  <Company>LENOVO 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cp:lastPrinted>2025-04-24T18:56:46Z</cp:lastPrinted>
  <dcterms:created xsi:type="dcterms:W3CDTF">2009-06-26T05:31:17Z</dcterms:created>
  <dcterms:modified xsi:type="dcterms:W3CDTF">2026-08-10T05:18:25Z</dcterms:modified>
</cp:coreProperties>
</file>