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BIWS Dropbox\Brian DeChesare\BIWS-All-Courses\100-Bonus-Case-Studies\Oil-Gas-Modeling\Type-Curve-Oil-and-Gas\"/>
    </mc:Choice>
  </mc:AlternateContent>
  <xr:revisionPtr revIDLastSave="0" documentId="13_ncr:1_{F9B84998-3482-42D6-BBA0-92F947B94CCF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Well" sheetId="2" r:id="rId1"/>
    <sheet name="Type_Curve" sheetId="3" r:id="rId2"/>
  </sheets>
  <definedNames>
    <definedName name="B_Factor">Type_Curve!$H$10</definedName>
    <definedName name="Bbl_to_Mcfe">Well!$N$12</definedName>
    <definedName name="CIQWBGuid" hidden="1">"fedf60f8-2cd9-49ba-9fee-91fc372c3a0f"</definedName>
    <definedName name="D_Factor">Type_Curve!$H$11</definedName>
    <definedName name="DC_Cost_per_Well">Well!$H$10</definedName>
    <definedName name="Discount_Rate">Well!$N$13</definedName>
    <definedName name="EUR">Well!$H$7</definedName>
    <definedName name="Gas_Pct">Well!$H$16</definedName>
    <definedName name="Gas_Price">Well!$H$12</definedName>
    <definedName name="IP_Rate">Well!$H$8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"08/30/2015 13:55:30"</definedName>
    <definedName name="IQ_QTD" hidden="1">750000</definedName>
    <definedName name="IQ_TODAY" hidden="1">0</definedName>
    <definedName name="IQ_YTDMONTH" hidden="1">130000</definedName>
    <definedName name="NGL_Pct">Well!$H$17</definedName>
    <definedName name="NGL_Price">Well!$H$13</definedName>
    <definedName name="Oil_Pct">Well!$H$18</definedName>
    <definedName name="Oil_Price">Well!$H$14</definedName>
    <definedName name="_xlnm.Print_Area" localSheetId="1">Type_Curve!$A$1:$R$67</definedName>
    <definedName name="_xlnm.Print_Area" localSheetId="0">Well!$A$1:$W$67</definedName>
    <definedName name="qi">Type_Curve!$H$7</definedName>
    <definedName name="Terminal_Decline">Well!$H$9</definedName>
    <definedName name="Units">Well!$N$11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6" i="2" l="1"/>
  <c r="U66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U29" i="2"/>
  <c r="U30" i="2" s="1"/>
  <c r="U31" i="2" s="1"/>
  <c r="U32" i="2" s="1"/>
  <c r="U33" i="2" s="1"/>
  <c r="U34" i="2" s="1"/>
  <c r="U35" i="2" s="1"/>
  <c r="U36" i="2" s="1"/>
  <c r="T29" i="2"/>
  <c r="U28" i="2"/>
  <c r="T28" i="2"/>
  <c r="V28" i="2" s="1"/>
  <c r="V27" i="2"/>
  <c r="T27" i="2"/>
  <c r="U27" i="2"/>
  <c r="T26" i="2"/>
  <c r="V26" i="2"/>
  <c r="V25" i="2"/>
  <c r="T25" i="2"/>
  <c r="U25" i="2"/>
  <c r="R66" i="2"/>
  <c r="Q66" i="2"/>
  <c r="P66" i="2"/>
  <c r="O66" i="2"/>
  <c r="Q65" i="2"/>
  <c r="P65" i="2"/>
  <c r="O65" i="2"/>
  <c r="R65" i="2" s="1"/>
  <c r="Q64" i="2"/>
  <c r="P64" i="2"/>
  <c r="O64" i="2"/>
  <c r="R64" i="2" s="1"/>
  <c r="Q63" i="2"/>
  <c r="P63" i="2"/>
  <c r="O63" i="2"/>
  <c r="R63" i="2" s="1"/>
  <c r="Q62" i="2"/>
  <c r="P62" i="2"/>
  <c r="O62" i="2"/>
  <c r="R62" i="2" s="1"/>
  <c r="Q61" i="2"/>
  <c r="P61" i="2"/>
  <c r="R61" i="2" s="1"/>
  <c r="O61" i="2"/>
  <c r="Q60" i="2"/>
  <c r="P60" i="2"/>
  <c r="O60" i="2"/>
  <c r="R60" i="2" s="1"/>
  <c r="Q59" i="2"/>
  <c r="R59" i="2" s="1"/>
  <c r="P59" i="2"/>
  <c r="O59" i="2"/>
  <c r="Q58" i="2"/>
  <c r="P58" i="2"/>
  <c r="O58" i="2"/>
  <c r="R58" i="2" s="1"/>
  <c r="Q57" i="2"/>
  <c r="R57" i="2" s="1"/>
  <c r="P57" i="2"/>
  <c r="O57" i="2"/>
  <c r="Q56" i="2"/>
  <c r="P56" i="2"/>
  <c r="O56" i="2"/>
  <c r="R56" i="2" s="1"/>
  <c r="R55" i="2"/>
  <c r="Q55" i="2"/>
  <c r="P55" i="2"/>
  <c r="O55" i="2"/>
  <c r="Q54" i="2"/>
  <c r="P54" i="2"/>
  <c r="O54" i="2"/>
  <c r="R54" i="2" s="1"/>
  <c r="R53" i="2"/>
  <c r="Q53" i="2"/>
  <c r="P53" i="2"/>
  <c r="O53" i="2"/>
  <c r="Q52" i="2"/>
  <c r="P52" i="2"/>
  <c r="O52" i="2"/>
  <c r="R52" i="2" s="1"/>
  <c r="Q51" i="2"/>
  <c r="P51" i="2"/>
  <c r="O51" i="2"/>
  <c r="R51" i="2" s="1"/>
  <c r="Q50" i="2"/>
  <c r="P50" i="2"/>
  <c r="R50" i="2" s="1"/>
  <c r="O50" i="2"/>
  <c r="Q49" i="2"/>
  <c r="P49" i="2"/>
  <c r="O49" i="2"/>
  <c r="R49" i="2" s="1"/>
  <c r="Q48" i="2"/>
  <c r="R48" i="2" s="1"/>
  <c r="P48" i="2"/>
  <c r="O48" i="2"/>
  <c r="Q47" i="2"/>
  <c r="P47" i="2"/>
  <c r="O47" i="2"/>
  <c r="R47" i="2" s="1"/>
  <c r="Q46" i="2"/>
  <c r="R46" i="2" s="1"/>
  <c r="P46" i="2"/>
  <c r="O46" i="2"/>
  <c r="Q45" i="2"/>
  <c r="P45" i="2"/>
  <c r="O45" i="2"/>
  <c r="R45" i="2" s="1"/>
  <c r="R44" i="2"/>
  <c r="Q44" i="2"/>
  <c r="P44" i="2"/>
  <c r="O44" i="2"/>
  <c r="Q43" i="2"/>
  <c r="P43" i="2"/>
  <c r="O43" i="2"/>
  <c r="R43" i="2" s="1"/>
  <c r="R42" i="2"/>
  <c r="Q42" i="2"/>
  <c r="P42" i="2"/>
  <c r="O42" i="2"/>
  <c r="Q41" i="2"/>
  <c r="P41" i="2"/>
  <c r="O41" i="2"/>
  <c r="R41" i="2" s="1"/>
  <c r="Q40" i="2"/>
  <c r="P40" i="2"/>
  <c r="O40" i="2"/>
  <c r="R40" i="2" s="1"/>
  <c r="Q39" i="2"/>
  <c r="P39" i="2"/>
  <c r="R39" i="2" s="1"/>
  <c r="O39" i="2"/>
  <c r="Q38" i="2"/>
  <c r="P38" i="2"/>
  <c r="O38" i="2"/>
  <c r="R38" i="2" s="1"/>
  <c r="Q37" i="2"/>
  <c r="R37" i="2" s="1"/>
  <c r="P37" i="2"/>
  <c r="O37" i="2"/>
  <c r="Q36" i="2"/>
  <c r="P36" i="2"/>
  <c r="O36" i="2"/>
  <c r="R36" i="2" s="1"/>
  <c r="Q35" i="2"/>
  <c r="R35" i="2" s="1"/>
  <c r="P35" i="2"/>
  <c r="O35" i="2"/>
  <c r="Q34" i="2"/>
  <c r="P34" i="2"/>
  <c r="O34" i="2"/>
  <c r="R34" i="2" s="1"/>
  <c r="R33" i="2"/>
  <c r="Q33" i="2"/>
  <c r="P33" i="2"/>
  <c r="O33" i="2"/>
  <c r="Q32" i="2"/>
  <c r="P32" i="2"/>
  <c r="O32" i="2"/>
  <c r="R32" i="2" s="1"/>
  <c r="R31" i="2"/>
  <c r="Q31" i="2"/>
  <c r="P31" i="2"/>
  <c r="O31" i="2"/>
  <c r="Q30" i="2"/>
  <c r="P30" i="2"/>
  <c r="O30" i="2"/>
  <c r="R30" i="2" s="1"/>
  <c r="Q29" i="2"/>
  <c r="P29" i="2"/>
  <c r="O29" i="2"/>
  <c r="R29" i="2" s="1"/>
  <c r="Q28" i="2"/>
  <c r="P28" i="2"/>
  <c r="R28" i="2" s="1"/>
  <c r="O28" i="2"/>
  <c r="Q27" i="2"/>
  <c r="P27" i="2"/>
  <c r="O27" i="2"/>
  <c r="R27" i="2" s="1"/>
  <c r="R26" i="2"/>
  <c r="Q26" i="2"/>
  <c r="P26" i="2"/>
  <c r="O26" i="2"/>
  <c r="K66" i="2"/>
  <c r="L66" i="2"/>
  <c r="M66" i="2"/>
  <c r="J66" i="2"/>
  <c r="L65" i="2"/>
  <c r="K65" i="2"/>
  <c r="J65" i="2"/>
  <c r="M65" i="2" s="1"/>
  <c r="L64" i="2"/>
  <c r="K64" i="2"/>
  <c r="J64" i="2"/>
  <c r="M64" i="2" s="1"/>
  <c r="L63" i="2"/>
  <c r="K63" i="2"/>
  <c r="J63" i="2"/>
  <c r="M63" i="2" s="1"/>
  <c r="L62" i="2"/>
  <c r="K62" i="2"/>
  <c r="J62" i="2"/>
  <c r="M62" i="2" s="1"/>
  <c r="L61" i="2"/>
  <c r="K61" i="2"/>
  <c r="J61" i="2"/>
  <c r="M61" i="2" s="1"/>
  <c r="L60" i="2"/>
  <c r="M60" i="2" s="1"/>
  <c r="K60" i="2"/>
  <c r="J60" i="2"/>
  <c r="L59" i="2"/>
  <c r="K59" i="2"/>
  <c r="J59" i="2"/>
  <c r="M59" i="2" s="1"/>
  <c r="L58" i="2"/>
  <c r="K58" i="2"/>
  <c r="J58" i="2"/>
  <c r="M58" i="2" s="1"/>
  <c r="L57" i="2"/>
  <c r="K57" i="2"/>
  <c r="J57" i="2"/>
  <c r="M57" i="2" s="1"/>
  <c r="L56" i="2"/>
  <c r="K56" i="2"/>
  <c r="J56" i="2"/>
  <c r="M56" i="2" s="1"/>
  <c r="L55" i="2"/>
  <c r="K55" i="2"/>
  <c r="J55" i="2"/>
  <c r="M55" i="2" s="1"/>
  <c r="L54" i="2"/>
  <c r="K54" i="2"/>
  <c r="J54" i="2"/>
  <c r="M54" i="2" s="1"/>
  <c r="L53" i="2"/>
  <c r="K53" i="2"/>
  <c r="J53" i="2"/>
  <c r="M53" i="2" s="1"/>
  <c r="L52" i="2"/>
  <c r="K52" i="2"/>
  <c r="J52" i="2"/>
  <c r="M52" i="2" s="1"/>
  <c r="L51" i="2"/>
  <c r="K51" i="2"/>
  <c r="J51" i="2"/>
  <c r="M51" i="2" s="1"/>
  <c r="L50" i="2"/>
  <c r="K50" i="2"/>
  <c r="J50" i="2"/>
  <c r="M50" i="2" s="1"/>
  <c r="L49" i="2"/>
  <c r="M49" i="2" s="1"/>
  <c r="K49" i="2"/>
  <c r="J49" i="2"/>
  <c r="L48" i="2"/>
  <c r="K48" i="2"/>
  <c r="J48" i="2"/>
  <c r="M48" i="2" s="1"/>
  <c r="L47" i="2"/>
  <c r="K47" i="2"/>
  <c r="J47" i="2"/>
  <c r="M47" i="2" s="1"/>
  <c r="L46" i="2"/>
  <c r="K46" i="2"/>
  <c r="J46" i="2"/>
  <c r="M46" i="2" s="1"/>
  <c r="L45" i="2"/>
  <c r="K45" i="2"/>
  <c r="J45" i="2"/>
  <c r="M45" i="2" s="1"/>
  <c r="L44" i="2"/>
  <c r="K44" i="2"/>
  <c r="J44" i="2"/>
  <c r="M44" i="2" s="1"/>
  <c r="L43" i="2"/>
  <c r="K43" i="2"/>
  <c r="J43" i="2"/>
  <c r="M43" i="2" s="1"/>
  <c r="L42" i="2"/>
  <c r="K42" i="2"/>
  <c r="J42" i="2"/>
  <c r="M42" i="2" s="1"/>
  <c r="L41" i="2"/>
  <c r="K41" i="2"/>
  <c r="J41" i="2"/>
  <c r="M41" i="2" s="1"/>
  <c r="L40" i="2"/>
  <c r="K40" i="2"/>
  <c r="J40" i="2"/>
  <c r="M40" i="2" s="1"/>
  <c r="L39" i="2"/>
  <c r="K39" i="2"/>
  <c r="J39" i="2"/>
  <c r="M39" i="2" s="1"/>
  <c r="L38" i="2"/>
  <c r="M38" i="2" s="1"/>
  <c r="K38" i="2"/>
  <c r="J38" i="2"/>
  <c r="L37" i="2"/>
  <c r="K37" i="2"/>
  <c r="J37" i="2"/>
  <c r="M37" i="2" s="1"/>
  <c r="L36" i="2"/>
  <c r="K36" i="2"/>
  <c r="J36" i="2"/>
  <c r="M36" i="2" s="1"/>
  <c r="L35" i="2"/>
  <c r="K35" i="2"/>
  <c r="J35" i="2"/>
  <c r="M35" i="2" s="1"/>
  <c r="L34" i="2"/>
  <c r="K34" i="2"/>
  <c r="J34" i="2"/>
  <c r="M34" i="2" s="1"/>
  <c r="L33" i="2"/>
  <c r="K33" i="2"/>
  <c r="J33" i="2"/>
  <c r="M33" i="2" s="1"/>
  <c r="L32" i="2"/>
  <c r="K32" i="2"/>
  <c r="J32" i="2"/>
  <c r="M32" i="2" s="1"/>
  <c r="L31" i="2"/>
  <c r="K31" i="2"/>
  <c r="J31" i="2"/>
  <c r="M31" i="2" s="1"/>
  <c r="L30" i="2"/>
  <c r="K30" i="2"/>
  <c r="J30" i="2"/>
  <c r="M30" i="2" s="1"/>
  <c r="L29" i="2"/>
  <c r="K29" i="2"/>
  <c r="J29" i="2"/>
  <c r="M29" i="2" s="1"/>
  <c r="L28" i="2"/>
  <c r="K28" i="2"/>
  <c r="J28" i="2"/>
  <c r="M28" i="2" s="1"/>
  <c r="L27" i="2"/>
  <c r="M27" i="2" s="1"/>
  <c r="K27" i="2"/>
  <c r="J27" i="2"/>
  <c r="M26" i="2"/>
  <c r="L26" i="2"/>
  <c r="K26" i="2"/>
  <c r="J26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G66" i="2"/>
  <c r="G28" i="2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27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G26" i="2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V44" i="2" l="1"/>
  <c r="V36" i="2"/>
  <c r="U37" i="2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V31" i="2"/>
  <c r="V32" i="2"/>
  <c r="V37" i="2"/>
  <c r="V39" i="2"/>
  <c r="V49" i="2"/>
  <c r="V50" i="2"/>
  <c r="V30" i="2"/>
  <c r="V33" i="2"/>
  <c r="V34" i="2"/>
  <c r="V35" i="2"/>
  <c r="V41" i="2"/>
  <c r="V42" i="2"/>
  <c r="V43" i="2"/>
  <c r="V29" i="2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F26" i="3"/>
  <c r="H8" i="2"/>
  <c r="D25" i="3"/>
  <c r="V51" i="2" l="1"/>
  <c r="U52" i="2"/>
  <c r="V40" i="2"/>
  <c r="V48" i="2"/>
  <c r="V47" i="2"/>
  <c r="V38" i="2"/>
  <c r="V46" i="2"/>
  <c r="V45" i="2"/>
  <c r="H11" i="3"/>
  <c r="C26" i="3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U53" i="2" l="1"/>
  <c r="V52" i="2"/>
  <c r="F63" i="3"/>
  <c r="F51" i="3"/>
  <c r="F27" i="3"/>
  <c r="G27" i="3" s="1"/>
  <c r="M5" i="2"/>
  <c r="U54" i="2" l="1"/>
  <c r="V53" i="2"/>
  <c r="F35" i="3"/>
  <c r="F31" i="3"/>
  <c r="F42" i="3"/>
  <c r="F44" i="3"/>
  <c r="F55" i="3"/>
  <c r="F45" i="3"/>
  <c r="G45" i="3" s="1"/>
  <c r="F30" i="3"/>
  <c r="F43" i="3"/>
  <c r="G43" i="3" s="1"/>
  <c r="F58" i="3"/>
  <c r="F41" i="3"/>
  <c r="F36" i="3"/>
  <c r="G36" i="3" s="1"/>
  <c r="F52" i="3"/>
  <c r="G52" i="3" s="1"/>
  <c r="F29" i="3"/>
  <c r="F59" i="3"/>
  <c r="G59" i="3" s="1"/>
  <c r="F40" i="3"/>
  <c r="F39" i="3"/>
  <c r="G39" i="3" s="1"/>
  <c r="F34" i="3"/>
  <c r="G34" i="3" s="1"/>
  <c r="F53" i="3"/>
  <c r="G53" i="3" s="1"/>
  <c r="F54" i="3"/>
  <c r="G54" i="3" s="1"/>
  <c r="F48" i="3"/>
  <c r="G48" i="3" s="1"/>
  <c r="F28" i="3"/>
  <c r="G28" i="3" s="1"/>
  <c r="F57" i="3"/>
  <c r="F56" i="3"/>
  <c r="F38" i="3"/>
  <c r="F50" i="3"/>
  <c r="F62" i="3"/>
  <c r="F60" i="3"/>
  <c r="F49" i="3"/>
  <c r="F33" i="3"/>
  <c r="F47" i="3"/>
  <c r="F37" i="3"/>
  <c r="F65" i="3"/>
  <c r="F46" i="3"/>
  <c r="G46" i="3" s="1"/>
  <c r="F32" i="3"/>
  <c r="G32" i="3" s="1"/>
  <c r="F61" i="3"/>
  <c r="G61" i="3" s="1"/>
  <c r="F64" i="3"/>
  <c r="G64" i="3" s="1"/>
  <c r="U55" i="2" l="1"/>
  <c r="V54" i="2"/>
  <c r="G29" i="3"/>
  <c r="G58" i="3"/>
  <c r="G40" i="3"/>
  <c r="G65" i="3"/>
  <c r="G41" i="3"/>
  <c r="G37" i="3"/>
  <c r="G47" i="3"/>
  <c r="G33" i="3"/>
  <c r="G30" i="3"/>
  <c r="G49" i="3"/>
  <c r="G60" i="3"/>
  <c r="G55" i="3"/>
  <c r="G62" i="3"/>
  <c r="G44" i="3"/>
  <c r="G50" i="3"/>
  <c r="G42" i="3"/>
  <c r="G38" i="3"/>
  <c r="G31" i="3"/>
  <c r="G56" i="3"/>
  <c r="G35" i="3"/>
  <c r="G57" i="3"/>
  <c r="G63" i="3"/>
  <c r="G51" i="3"/>
  <c r="F66" i="3"/>
  <c r="N7" i="2"/>
  <c r="H7" i="2"/>
  <c r="U56" i="2" l="1"/>
  <c r="V55" i="2"/>
  <c r="C26" i="2"/>
  <c r="U57" i="2" l="1"/>
  <c r="V56" i="2"/>
  <c r="C27" i="2"/>
  <c r="U58" i="2" l="1"/>
  <c r="V57" i="2"/>
  <c r="C28" i="2"/>
  <c r="V58" i="2" l="1"/>
  <c r="U59" i="2"/>
  <c r="C29" i="2"/>
  <c r="U60" i="2" l="1"/>
  <c r="V59" i="2"/>
  <c r="C30" i="2"/>
  <c r="U61" i="2" l="1"/>
  <c r="V60" i="2"/>
  <c r="C31" i="2"/>
  <c r="U62" i="2" l="1"/>
  <c r="V61" i="2"/>
  <c r="C32" i="2"/>
  <c r="U63" i="2" l="1"/>
  <c r="V62" i="2"/>
  <c r="C33" i="2"/>
  <c r="U64" i="2" l="1"/>
  <c r="V63" i="2"/>
  <c r="C34" i="2"/>
  <c r="U65" i="2" l="1"/>
  <c r="V65" i="2" s="1"/>
  <c r="V64" i="2"/>
  <c r="C35" i="2"/>
  <c r="C36" i="2" l="1"/>
  <c r="C37" i="2" l="1"/>
  <c r="C38" i="2" l="1"/>
  <c r="C39" i="2" l="1"/>
  <c r="C40" i="2" l="1"/>
  <c r="C41" i="2" l="1"/>
  <c r="C42" i="2" l="1"/>
  <c r="C43" i="2" l="1"/>
  <c r="C44" i="2" l="1"/>
  <c r="C45" i="2" l="1"/>
  <c r="C46" i="2" l="1"/>
  <c r="C47" i="2" l="1"/>
  <c r="C48" i="2" l="1"/>
  <c r="C49" i="2" l="1"/>
  <c r="C50" i="2" l="1"/>
  <c r="C51" i="2" l="1"/>
  <c r="C52" i="2" l="1"/>
  <c r="C53" i="2" l="1"/>
  <c r="C54" i="2" l="1"/>
  <c r="C55" i="2" l="1"/>
  <c r="C56" i="2" l="1"/>
  <c r="C57" i="2" l="1"/>
  <c r="C58" i="2" l="1"/>
  <c r="C59" i="2" l="1"/>
  <c r="C60" i="2" l="1"/>
  <c r="C61" i="2" l="1"/>
  <c r="C62" i="2" l="1"/>
  <c r="C63" i="2" l="1"/>
  <c r="C64" i="2" l="1"/>
  <c r="C65" i="2" l="1"/>
  <c r="N15" i="2" l="1"/>
  <c r="N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BIWS</author>
  </authors>
  <commentList>
    <comment ref="H7" authorId="0" shapeId="0" xr:uid="{CD8B2154-4B33-427B-97A4-BFE7C8D1A6A0}">
      <text>
        <r>
          <rPr>
            <b/>
            <sz val="9"/>
            <color indexed="81"/>
            <rFont val="Tahoma"/>
            <family val="2"/>
          </rPr>
          <t>BIWS:</t>
        </r>
        <r>
          <rPr>
            <sz val="9"/>
            <color indexed="81"/>
            <rFont val="Tahoma"/>
            <family val="2"/>
          </rPr>
          <t xml:space="preserve">
Based on the 7,500 ft completed lateral length * EUR per 1,000 ft.</t>
        </r>
      </text>
    </comment>
    <comment ref="N7" authorId="0" shapeId="0" xr:uid="{02D7F089-763C-4E9C-907A-8F8C0F7154AC}">
      <text>
        <r>
          <rPr>
            <b/>
            <sz val="9"/>
            <color indexed="81"/>
            <rFont val="Tahoma"/>
            <family val="2"/>
          </rPr>
          <t>BIWS:</t>
        </r>
        <r>
          <rPr>
            <sz val="9"/>
            <color indexed="81"/>
            <rFont val="Tahoma"/>
            <family val="2"/>
          </rPr>
          <t xml:space="preserve">
$1,309 per well per month and only a single well here.</t>
        </r>
      </text>
    </comment>
    <comment ref="H8" authorId="0" shapeId="0" xr:uid="{5A820B48-85A7-4AF3-A281-E91EA63E1D5B}">
      <text>
        <r>
          <rPr>
            <b/>
            <sz val="9"/>
            <color indexed="81"/>
            <rFont val="Tahoma"/>
            <family val="2"/>
          </rPr>
          <t>BIWS:</t>
        </r>
        <r>
          <rPr>
            <sz val="9"/>
            <color indexed="81"/>
            <rFont val="Tahoma"/>
            <family val="2"/>
          </rPr>
          <t xml:space="preserve">
Rough estimate based on 10 Mmcfe / d for the first 90 days and 4 Mmcfe / d by the end of Year 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BIWS</author>
  </authors>
  <commentList>
    <comment ref="H10" authorId="0" shapeId="0" xr:uid="{D6F8C2AE-A486-4A41-AD83-F9854FE2162E}">
      <text>
        <r>
          <rPr>
            <b/>
            <sz val="9"/>
            <color indexed="81"/>
            <rFont val="Tahoma"/>
            <family val="2"/>
          </rPr>
          <t>BIWS:</t>
        </r>
        <r>
          <rPr>
            <sz val="9"/>
            <color indexed="81"/>
            <rFont val="Tahoma"/>
            <family val="2"/>
          </rPr>
          <t xml:space="preserve">
From company slide.</t>
        </r>
      </text>
    </comment>
    <comment ref="F26" authorId="0" shapeId="0" xr:uid="{D3119EFC-E9E6-4B00-B991-163EA30A4A1A}">
      <text>
        <r>
          <rPr>
            <b/>
            <sz val="9"/>
            <color indexed="81"/>
            <rFont val="Tahoma"/>
            <family val="2"/>
          </rPr>
          <t>BIWS:</t>
        </r>
        <r>
          <rPr>
            <sz val="9"/>
            <color indexed="81"/>
            <rFont val="Tahoma"/>
            <family val="2"/>
          </rPr>
          <t xml:space="preserve">
Attempting to adjust for the curvature by weighting the t0 Daily Production slightly more.</t>
        </r>
      </text>
    </comment>
  </commentList>
</comments>
</file>

<file path=xl/sharedStrings.xml><?xml version="1.0" encoding="utf-8"?>
<sst xmlns="http://schemas.openxmlformats.org/spreadsheetml/2006/main" count="113" uniqueCount="78">
  <si>
    <t>Rate:</t>
  </si>
  <si>
    <t>%</t>
  </si>
  <si>
    <t>Units:</t>
  </si>
  <si>
    <t>Total:</t>
  </si>
  <si>
    <t>#</t>
  </si>
  <si>
    <t>Cash Flow</t>
  </si>
  <si>
    <t>$ M</t>
  </si>
  <si>
    <t>Mmcfe</t>
  </si>
  <si>
    <t>$ / Mcf</t>
  </si>
  <si>
    <t>$ / Bbl</t>
  </si>
  <si>
    <t>$ / Mcfe</t>
  </si>
  <si>
    <t>Gas</t>
  </si>
  <si>
    <t>Oil</t>
  </si>
  <si>
    <t>NGLs</t>
  </si>
  <si>
    <t>Total</t>
  </si>
  <si>
    <t>CapEx</t>
  </si>
  <si>
    <t>Period</t>
  </si>
  <si>
    <t>Mmcfe / d</t>
  </si>
  <si>
    <t>% Oil:</t>
  </si>
  <si>
    <t>% Natural Gas:</t>
  </si>
  <si>
    <t>% Natural Gas Liquids (NGLs):</t>
  </si>
  <si>
    <t>($ M)</t>
  </si>
  <si>
    <t>Transport.</t>
  </si>
  <si>
    <t>Cash OpInc</t>
  </si>
  <si>
    <t>Decline</t>
  </si>
  <si>
    <t>Gas (Mmcf)</t>
  </si>
  <si>
    <t>Oil (MBbl)</t>
  </si>
  <si>
    <t>NGLs (MBbl)</t>
  </si>
  <si>
    <t>(Mmcfe)</t>
  </si>
  <si>
    <t>Revenue:</t>
  </si>
  <si>
    <t>Asset-Level Expenses:</t>
  </si>
  <si>
    <t>Cash Flow:</t>
  </si>
  <si>
    <t>($ in Millions USD Except Per Share and Per Unit Data)</t>
  </si>
  <si>
    <t>Discount Rate (WACC):</t>
  </si>
  <si>
    <t>Bbl to Mcfe Conversion Factor:</t>
  </si>
  <si>
    <t>Production Curve:</t>
  </si>
  <si>
    <t>Single Well - Production and Cash Flows:</t>
  </si>
  <si>
    <t>Single Well Economics:</t>
  </si>
  <si>
    <t>Single Well Economics (Lower Eagle Ford) - Simple Example</t>
  </si>
  <si>
    <t>Natural Gas Price:</t>
  </si>
  <si>
    <t>Natural Gas Liquids (NGLs) Price:</t>
  </si>
  <si>
    <t>Oil (WTI) Price</t>
  </si>
  <si>
    <t>$ / Well / Yr</t>
  </si>
  <si>
    <t>Transportation &amp; Processing:</t>
  </si>
  <si>
    <t>Fixed LOE</t>
  </si>
  <si>
    <t>Var. LOE</t>
  </si>
  <si>
    <t>ENDING</t>
  </si>
  <si>
    <t>Daily</t>
  </si>
  <si>
    <t>Production:</t>
  </si>
  <si>
    <t>B-Factor:</t>
  </si>
  <si>
    <t>t = Period #, such as 1 for Year 1, 2 for Year 2, etc.</t>
  </si>
  <si>
    <t>(Mmcfe / d)</t>
  </si>
  <si>
    <t>Type Curve (Lower Eagle Ford) - Simple Example</t>
  </si>
  <si>
    <t>Type Curve Parameters:</t>
  </si>
  <si>
    <t>Annual</t>
  </si>
  <si>
    <t>Avg. Annual</t>
  </si>
  <si>
    <t>(Mmcfe / y)</t>
  </si>
  <si>
    <t>Terminal Decline Rate:</t>
  </si>
  <si>
    <t>Period #:</t>
  </si>
  <si>
    <t>Average Estimated Ultimate Recovery (EUR):</t>
  </si>
  <si>
    <t>12-Month Average Initial Production (IP) Rate:</t>
  </si>
  <si>
    <t>Internal Rate of Return (IRR):</t>
  </si>
  <si>
    <t>NPV-10:</t>
  </si>
  <si>
    <t>(Net Present Value at a 10% Discount Rate)</t>
  </si>
  <si>
    <t>Fixed Lease Operating Expense (LOE):</t>
  </si>
  <si>
    <t>Variable Lease Operating Expense (LOE):</t>
  </si>
  <si>
    <t>Drilling &amp; Completion (D&amp;C) Cost Per Well:</t>
  </si>
  <si>
    <t>ENDING Daily</t>
  </si>
  <si>
    <r>
      <t>q(t) = q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 xml:space="preserve"> / ((1 + b * D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 xml:space="preserve"> * t) ^ (1 / b))</t>
    </r>
  </si>
  <si>
    <r>
      <t xml:space="preserve">Di = Initial hyperbolic decline rate based on the </t>
    </r>
    <r>
      <rPr>
        <i/>
        <sz val="12"/>
        <color theme="1"/>
        <rFont val="Calibri"/>
        <family val="2"/>
        <scheme val="minor"/>
      </rPr>
      <t>effective decline rate</t>
    </r>
    <r>
      <rPr>
        <sz val="12"/>
        <color theme="1"/>
        <rFont val="Calibri"/>
        <family val="2"/>
        <scheme val="minor"/>
      </rPr>
      <t xml:space="preserve"> as an exponential instead.</t>
    </r>
  </si>
  <si>
    <t>90-Day IP Rate:</t>
  </si>
  <si>
    <t>Initial Decline Rate One Year After "Flat Period":</t>
  </si>
  <si>
    <r>
      <t>Initial Hyperbolic Decline Rate (D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>):</t>
    </r>
  </si>
  <si>
    <r>
      <t>Essentially, D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 xml:space="preserve"> "converts" the initial 60% decline quoted by the company into a "continuous decline rate" that applies</t>
    </r>
  </si>
  <si>
    <t>b or "B-Factor" = Measures the steepness of the hyperbolic decline curve, but reversed (higher = shallower, and lower = steeper).</t>
  </si>
  <si>
    <t>each year as production falls. Some approaches recalculate this each year, but it's not necessary for a quick approximation.</t>
  </si>
  <si>
    <t>q(t) = Daily Production at a Single Point in Time (e.g., End of Year).</t>
  </si>
  <si>
    <r>
      <t>q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 xml:space="preserve"> = Initial Daily Production When Well is Drilled (IP Rate).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</si>
</sst>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0.0%;\(0.0%\)"/>
    <numFmt numFmtId="166" formatCode="0.0%"/>
    <numFmt numFmtId="167" formatCode="_(&quot;$&quot;* #,##0.0_);_(&quot;$&quot;* \(#,##0.0\);_(&quot;$&quot;* &quot;-&quot;?_);_(@_)"/>
    <numFmt numFmtId="168" formatCode="#,##0.0_);[Red]\(#,##0.0\)"/>
    <numFmt numFmtId="169" formatCode="_(&quot;$&quot;* #,##0.00_);_(&quot;$&quot;* \(#,##0.00\);_(&quot;$&quot;* &quot;-&quot;?_);_(@_)"/>
    <numFmt numFmtId="170" formatCode="_(* #,##0.00_);_(* \(#,##0.00\);_(* &quot;-&quot;?_);_(@_)"/>
    <numFmt numFmtId="171" formatCode="_(&quot;$&quot;* #,##0.0_);_(&quot;$&quot;* \(#,##0.0\);_(&quot;$&quot;* &quot;-&quot;??_);_(@_)"/>
    <numFmt numFmtId="172" formatCode="_(#,##0.0%_);\(#,##0.0%\);_(&quot;–&quot;_)_%;_(@_)_%"/>
    <numFmt numFmtId="173" formatCode="_(* #,##0_);_(* \(#,##0\);_(* &quot;-&quot;??_);_(@_)"/>
    <numFmt numFmtId="174" formatCode="_(* #,##0.000_);_(* \(#,##0.000\);_(* &quot;-&quot;_);_(@_)"/>
    <numFmt numFmtId="175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FF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sz val="10"/>
      <name val="Arial"/>
      <family val="2"/>
    </font>
    <font>
      <sz val="12"/>
      <color rgb="FF0000FF"/>
      <name val="Calibri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B050"/>
      <name val="Calibri"/>
      <family val="2"/>
      <scheme val="minor"/>
    </font>
    <font>
      <sz val="8"/>
      <color indexed="8"/>
      <name val="Arial"/>
      <family val="2"/>
    </font>
    <font>
      <sz val="12"/>
      <color rgb="FF00000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</borders>
  <cellStyleXfs count="9">
    <xf numFmtId="0" fontId="0" fillId="0" borderId="0"/>
    <xf numFmtId="0" fontId="3" fillId="2" borderId="1" applyNumberFormat="0" applyFont="0" applyAlignment="0" applyProtection="0"/>
    <xf numFmtId="0" fontId="12" fillId="0" borderId="0"/>
    <xf numFmtId="0" fontId="3" fillId="0" borderId="0"/>
    <xf numFmtId="0" fontId="3" fillId="0" borderId="0"/>
    <xf numFmtId="0" fontId="12" fillId="0" borderId="0"/>
    <xf numFmtId="0" fontId="18" fillId="0" borderId="0" applyAlignment="0"/>
    <xf numFmtId="0" fontId="3" fillId="0" borderId="0"/>
    <xf numFmtId="0" fontId="3" fillId="0" borderId="0"/>
  </cellStyleXfs>
  <cellXfs count="77">
    <xf numFmtId="0" fontId="0" fillId="0" borderId="0" xfId="0"/>
    <xf numFmtId="0" fontId="4" fillId="0" borderId="0" xfId="0" applyFont="1"/>
    <xf numFmtId="0" fontId="5" fillId="3" borderId="2" xfId="0" applyFont="1" applyFill="1" applyBorder="1"/>
    <xf numFmtId="0" fontId="6" fillId="3" borderId="2" xfId="0" applyFont="1" applyFill="1" applyBorder="1"/>
    <xf numFmtId="0" fontId="7" fillId="3" borderId="2" xfId="0" applyFont="1" applyFill="1" applyBorder="1"/>
    <xf numFmtId="0" fontId="8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1" fillId="6" borderId="2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38" fontId="8" fillId="5" borderId="1" xfId="1" applyNumberFormat="1" applyFont="1" applyFill="1"/>
    <xf numFmtId="0" fontId="14" fillId="0" borderId="0" xfId="0" applyFont="1"/>
    <xf numFmtId="0" fontId="2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4" borderId="0" xfId="0" applyFont="1" applyFill="1"/>
    <xf numFmtId="0" fontId="1" fillId="0" borderId="0" xfId="0" applyFont="1" applyAlignment="1">
      <alignment horizontal="center"/>
    </xf>
    <xf numFmtId="41" fontId="1" fillId="0" borderId="0" xfId="0" applyNumberFormat="1" applyFont="1"/>
    <xf numFmtId="0" fontId="1" fillId="0" borderId="0" xfId="0" applyFont="1" applyAlignment="1">
      <alignment horizontal="centerContinuous"/>
    </xf>
    <xf numFmtId="41" fontId="4" fillId="0" borderId="0" xfId="0" applyNumberFormat="1" applyFont="1"/>
    <xf numFmtId="0" fontId="8" fillId="0" borderId="0" xfId="0" applyFont="1"/>
    <xf numFmtId="43" fontId="1" fillId="0" borderId="0" xfId="0" applyNumberFormat="1" applyFont="1"/>
    <xf numFmtId="44" fontId="1" fillId="0" borderId="0" xfId="0" applyNumberFormat="1" applyFont="1"/>
    <xf numFmtId="0" fontId="11" fillId="3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Continuous"/>
    </xf>
    <xf numFmtId="41" fontId="4" fillId="0" borderId="3" xfId="0" applyNumberFormat="1" applyFont="1" applyBorder="1"/>
    <xf numFmtId="0" fontId="1" fillId="4" borderId="2" xfId="0" applyFont="1" applyFill="1" applyBorder="1" applyAlignment="1">
      <alignment horizontal="centerContinuous"/>
    </xf>
    <xf numFmtId="0" fontId="4" fillId="4" borderId="2" xfId="0" applyFont="1" applyFill="1" applyBorder="1" applyAlignment="1">
      <alignment horizontal="centerContinuous"/>
    </xf>
    <xf numFmtId="43" fontId="8" fillId="5" borderId="1" xfId="0" applyNumberFormat="1" applyFont="1" applyFill="1" applyBorder="1" applyAlignment="1">
      <alignment horizontal="center"/>
    </xf>
    <xf numFmtId="14" fontId="10" fillId="0" borderId="0" xfId="0" applyNumberFormat="1" applyFont="1"/>
    <xf numFmtId="14" fontId="1" fillId="0" borderId="0" xfId="0" applyNumberFormat="1" applyFont="1"/>
    <xf numFmtId="165" fontId="8" fillId="5" borderId="1" xfId="0" applyNumberFormat="1" applyFont="1" applyFill="1" applyBorder="1" applyAlignment="1">
      <alignment horizontal="center"/>
    </xf>
    <xf numFmtId="1" fontId="1" fillId="4" borderId="0" xfId="0" applyNumberFormat="1" applyFont="1" applyFill="1"/>
    <xf numFmtId="166" fontId="8" fillId="4" borderId="0" xfId="0" applyNumberFormat="1" applyFont="1" applyFill="1"/>
    <xf numFmtId="0" fontId="1" fillId="4" borderId="0" xfId="0" applyFont="1" applyFill="1" applyAlignment="1">
      <alignment horizontal="right"/>
    </xf>
    <xf numFmtId="41" fontId="1" fillId="4" borderId="0" xfId="0" applyNumberFormat="1" applyFont="1" applyFill="1"/>
    <xf numFmtId="164" fontId="8" fillId="5" borderId="1" xfId="0" applyNumberFormat="1" applyFont="1" applyFill="1" applyBorder="1" applyAlignment="1">
      <alignment horizontal="center"/>
    </xf>
    <xf numFmtId="167" fontId="1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0" fontId="4" fillId="0" borderId="0" xfId="0" applyFont="1" applyAlignment="1">
      <alignment horizontal="centerContinuous"/>
    </xf>
    <xf numFmtId="164" fontId="1" fillId="0" borderId="2" xfId="0" applyNumberFormat="1" applyFont="1" applyBorder="1"/>
    <xf numFmtId="0" fontId="4" fillId="4" borderId="4" xfId="0" applyFont="1" applyFill="1" applyBorder="1" applyAlignment="1">
      <alignment horizontal="center"/>
    </xf>
    <xf numFmtId="9" fontId="1" fillId="0" borderId="0" xfId="0" applyNumberFormat="1" applyFont="1"/>
    <xf numFmtId="172" fontId="13" fillId="5" borderId="1" xfId="1" applyNumberFormat="1" applyFont="1" applyFill="1" applyAlignment="1">
      <alignment horizontal="center"/>
    </xf>
    <xf numFmtId="38" fontId="10" fillId="5" borderId="1" xfId="1" applyNumberFormat="1" applyFont="1" applyFill="1"/>
    <xf numFmtId="169" fontId="8" fillId="5" borderId="1" xfId="0" applyNumberFormat="1" applyFont="1" applyFill="1" applyBorder="1" applyAlignment="1">
      <alignment horizontal="center"/>
    </xf>
    <xf numFmtId="168" fontId="10" fillId="5" borderId="1" xfId="1" applyNumberFormat="1" applyFont="1" applyFill="1"/>
    <xf numFmtId="43" fontId="1" fillId="0" borderId="0" xfId="0" applyNumberFormat="1" applyFont="1" applyAlignment="1">
      <alignment horizontal="center"/>
    </xf>
    <xf numFmtId="44" fontId="4" fillId="0" borderId="3" xfId="0" applyNumberFormat="1" applyFont="1" applyBorder="1"/>
    <xf numFmtId="171" fontId="4" fillId="0" borderId="3" xfId="0" applyNumberFormat="1" applyFont="1" applyBorder="1"/>
    <xf numFmtId="170" fontId="1" fillId="0" borderId="0" xfId="0" applyNumberFormat="1" applyFont="1"/>
    <xf numFmtId="167" fontId="4" fillId="0" borderId="0" xfId="0" applyNumberFormat="1" applyFont="1"/>
    <xf numFmtId="174" fontId="1" fillId="0" borderId="0" xfId="0" applyNumberFormat="1" applyFont="1"/>
    <xf numFmtId="171" fontId="1" fillId="0" borderId="0" xfId="0" applyNumberFormat="1" applyFont="1"/>
    <xf numFmtId="173" fontId="10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38" fontId="8" fillId="0" borderId="0" xfId="1" applyNumberFormat="1" applyFont="1" applyFill="1" applyBorder="1"/>
    <xf numFmtId="165" fontId="8" fillId="0" borderId="0" xfId="0" applyNumberFormat="1" applyFont="1" applyAlignment="1">
      <alignment horizontal="center"/>
    </xf>
    <xf numFmtId="168" fontId="8" fillId="5" borderId="1" xfId="1" applyNumberFormat="1" applyFont="1" applyFill="1"/>
    <xf numFmtId="172" fontId="10" fillId="0" borderId="0" xfId="0" applyNumberFormat="1" applyFont="1" applyAlignment="1">
      <alignment horizontal="center"/>
    </xf>
    <xf numFmtId="41" fontId="17" fillId="0" borderId="0" xfId="0" applyNumberFormat="1" applyFont="1"/>
    <xf numFmtId="40" fontId="10" fillId="5" borderId="5" xfId="1" applyNumberFormat="1" applyFont="1" applyFill="1" applyBorder="1"/>
    <xf numFmtId="175" fontId="1" fillId="0" borderId="0" xfId="0" applyNumberFormat="1" applyFont="1"/>
    <xf numFmtId="175" fontId="4" fillId="0" borderId="3" xfId="0" applyNumberFormat="1" applyFont="1" applyBorder="1"/>
    <xf numFmtId="1" fontId="4" fillId="4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8" fontId="1" fillId="0" borderId="0" xfId="0" applyNumberFormat="1" applyFont="1"/>
    <xf numFmtId="173" fontId="10" fillId="5" borderId="1" xfId="0" applyNumberFormat="1" applyFont="1" applyFill="1" applyBorder="1" applyAlignment="1">
      <alignment horizontal="center"/>
    </xf>
    <xf numFmtId="41" fontId="17" fillId="5" borderId="1" xfId="0" applyNumberFormat="1" applyFont="1" applyFill="1" applyBorder="1" applyAlignment="1">
      <alignment horizontal="center"/>
    </xf>
    <xf numFmtId="172" fontId="1" fillId="0" borderId="0" xfId="0" applyNumberFormat="1" applyFont="1"/>
    <xf numFmtId="169" fontId="1" fillId="0" borderId="0" xfId="0" applyNumberFormat="1" applyFont="1"/>
    <xf numFmtId="0" fontId="1" fillId="0" borderId="0" xfId="0" applyFont="1" applyAlignment="1">
      <alignment horizontal="left" indent="2"/>
    </xf>
    <xf numFmtId="41" fontId="19" fillId="5" borderId="1" xfId="0" applyNumberFormat="1" applyFont="1" applyFill="1" applyBorder="1" applyAlignment="1">
      <alignment horizontal="center"/>
    </xf>
    <xf numFmtId="172" fontId="8" fillId="5" borderId="1" xfId="0" applyNumberFormat="1" applyFont="1" applyFill="1" applyBorder="1" applyAlignment="1">
      <alignment horizontal="center"/>
    </xf>
  </cellXfs>
  <cellStyles count="9">
    <cellStyle name="Normal" xfId="0" builtinId="0"/>
    <cellStyle name="Normal 2" xfId="2" xr:uid="{00000000-0005-0000-0000-000001000000}"/>
    <cellStyle name="Normal 2 2 2" xfId="5" xr:uid="{53258F84-8E7C-4A6B-9554-A1D632722A21}"/>
    <cellStyle name="Normal 3 2" xfId="3" xr:uid="{E2CCC3B0-1C40-4A03-8A25-116CFDEB9809}"/>
    <cellStyle name="Normal 3 2 2 2" xfId="4" xr:uid="{5772A750-5B53-4F0E-ABA7-81FD7F800F0B}"/>
    <cellStyle name="Normal 3 4" xfId="8" xr:uid="{B56132FD-DE09-4121-B677-EAC10AD8333F}"/>
    <cellStyle name="Normal 5 2" xfId="7" xr:uid="{BCCB873B-07C1-4DB6-8077-E9E203040B7B}"/>
    <cellStyle name="Note" xfId="1" builtinId="10"/>
    <cellStyle name="TextNormal" xfId="6" xr:uid="{107B7280-5E64-4FD1-8BD2-D5B943513742}"/>
  </cellStyles>
  <dxfs count="0"/>
  <tableStyles count="0" defaultTableStyle="TableStyleMedium2" defaultPivotStyle="PivotStyleLight16"/>
  <colors>
    <mruColors>
      <color rgb="FF0000FF"/>
      <color rgb="FF0070C0"/>
      <color rgb="FF8CB4D8"/>
      <color rgb="FF1F497D"/>
      <color rgb="FF8DB4E2"/>
      <color rgb="FFB2B2B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8188F-2A4D-4298-A417-26FD66ADF053}">
  <sheetPr>
    <pageSetUpPr autoPageBreaks="0"/>
  </sheetPr>
  <dimension ref="B2:Y87"/>
  <sheetViews>
    <sheetView showGridLines="0" tabSelected="1" zoomScaleNormal="100" workbookViewId="0">
      <selection activeCell="B2" sqref="B2"/>
    </sheetView>
  </sheetViews>
  <sheetFormatPr defaultColWidth="9.15234375" defaultRowHeight="15.9" outlineLevelRow="1" x14ac:dyDescent="0.45"/>
  <cols>
    <col min="1" max="2" width="2.69140625" style="15" customWidth="1"/>
    <col min="3" max="23" width="12.69140625" style="15" customWidth="1"/>
    <col min="24" max="16384" width="9.15234375" style="15"/>
  </cols>
  <sheetData>
    <row r="2" spans="2:23" ht="18.45" x14ac:dyDescent="0.5">
      <c r="B2" s="13" t="s">
        <v>38</v>
      </c>
    </row>
    <row r="3" spans="2:23" x14ac:dyDescent="0.45">
      <c r="B3" s="15" t="s">
        <v>32</v>
      </c>
    </row>
    <row r="5" spans="2:23" x14ac:dyDescent="0.45">
      <c r="B5" s="2" t="s">
        <v>37</v>
      </c>
      <c r="C5" s="3"/>
      <c r="D5" s="9"/>
      <c r="E5" s="4"/>
      <c r="F5" s="3"/>
      <c r="G5" s="25" t="s">
        <v>2</v>
      </c>
      <c r="H5" s="3"/>
      <c r="I5" s="3"/>
      <c r="J5" s="4"/>
      <c r="K5" s="3"/>
      <c r="L5" s="9"/>
      <c r="M5" s="25" t="str">
        <f>$G$5</f>
        <v>Units:</v>
      </c>
      <c r="N5" s="3"/>
      <c r="O5" s="3"/>
      <c r="P5" s="3"/>
      <c r="Q5" s="3"/>
      <c r="R5" s="10"/>
      <c r="S5" s="10"/>
      <c r="T5" s="10"/>
      <c r="U5" s="10"/>
      <c r="V5" s="10"/>
      <c r="W5" s="10"/>
    </row>
    <row r="6" spans="2:23" outlineLevel="1" x14ac:dyDescent="0.45">
      <c r="C6" s="1"/>
      <c r="O6" s="1"/>
    </row>
    <row r="7" spans="2:23" outlineLevel="1" x14ac:dyDescent="0.45">
      <c r="C7" s="16" t="s">
        <v>59</v>
      </c>
      <c r="G7" s="11" t="s">
        <v>7</v>
      </c>
      <c r="H7" s="47">
        <f>7500*1.9</f>
        <v>14250</v>
      </c>
      <c r="J7" s="16" t="s">
        <v>64</v>
      </c>
      <c r="M7" s="11" t="s">
        <v>42</v>
      </c>
      <c r="N7" s="70">
        <f>1309*12</f>
        <v>15708</v>
      </c>
      <c r="P7" s="16"/>
      <c r="R7" s="63"/>
      <c r="S7" s="63"/>
    </row>
    <row r="8" spans="2:23" outlineLevel="1" x14ac:dyDescent="0.45">
      <c r="C8" s="16" t="s">
        <v>60</v>
      </c>
      <c r="G8" s="11" t="s">
        <v>17</v>
      </c>
      <c r="H8" s="49">
        <f>AVERAGE(10,4)</f>
        <v>7</v>
      </c>
      <c r="J8" s="16" t="s">
        <v>65</v>
      </c>
      <c r="M8" s="11" t="s">
        <v>10</v>
      </c>
      <c r="N8" s="30">
        <v>0.02</v>
      </c>
      <c r="P8" s="16"/>
      <c r="R8" s="18"/>
      <c r="S8" s="18"/>
    </row>
    <row r="9" spans="2:23" outlineLevel="1" x14ac:dyDescent="0.45">
      <c r="C9" s="16" t="s">
        <v>57</v>
      </c>
      <c r="G9" s="11" t="s">
        <v>1</v>
      </c>
      <c r="H9" s="33">
        <v>0.05</v>
      </c>
      <c r="J9" s="16" t="s">
        <v>43</v>
      </c>
      <c r="M9" s="11" t="s">
        <v>10</v>
      </c>
      <c r="N9" s="30">
        <v>0.39</v>
      </c>
      <c r="P9" s="16"/>
    </row>
    <row r="10" spans="2:23" outlineLevel="1" x14ac:dyDescent="0.45">
      <c r="C10" s="16" t="s">
        <v>66</v>
      </c>
      <c r="G10" s="11" t="s">
        <v>6</v>
      </c>
      <c r="H10" s="48">
        <v>4.7</v>
      </c>
      <c r="P10" s="16"/>
    </row>
    <row r="11" spans="2:23" outlineLevel="1" x14ac:dyDescent="0.45">
      <c r="J11" s="14" t="s">
        <v>2</v>
      </c>
      <c r="M11" s="11" t="s">
        <v>4</v>
      </c>
      <c r="N11" s="12">
        <v>1000</v>
      </c>
      <c r="P11" s="16"/>
    </row>
    <row r="12" spans="2:23" outlineLevel="1" x14ac:dyDescent="0.45">
      <c r="C12" s="16" t="s">
        <v>39</v>
      </c>
      <c r="G12" s="11" t="s">
        <v>8</v>
      </c>
      <c r="H12" s="30">
        <v>3</v>
      </c>
      <c r="J12" s="14" t="s">
        <v>34</v>
      </c>
      <c r="M12" s="11" t="s">
        <v>4</v>
      </c>
      <c r="N12" s="12">
        <v>6</v>
      </c>
      <c r="P12" s="16"/>
    </row>
    <row r="13" spans="2:23" outlineLevel="1" x14ac:dyDescent="0.45">
      <c r="C13" s="16" t="s">
        <v>40</v>
      </c>
      <c r="G13" s="11" t="s">
        <v>9</v>
      </c>
      <c r="H13" s="30">
        <v>20</v>
      </c>
      <c r="J13" s="16" t="s">
        <v>33</v>
      </c>
      <c r="M13" s="11" t="s">
        <v>1</v>
      </c>
      <c r="N13" s="46">
        <v>0.1</v>
      </c>
      <c r="P13" s="16"/>
    </row>
    <row r="14" spans="2:23" outlineLevel="1" x14ac:dyDescent="0.45">
      <c r="C14" s="16" t="s">
        <v>41</v>
      </c>
      <c r="G14" s="11" t="s">
        <v>9</v>
      </c>
      <c r="H14" s="30">
        <v>50</v>
      </c>
      <c r="P14" s="16"/>
    </row>
    <row r="15" spans="2:23" outlineLevel="1" x14ac:dyDescent="0.45">
      <c r="C15" s="1"/>
      <c r="J15" s="16" t="s">
        <v>61</v>
      </c>
      <c r="M15" s="11" t="s">
        <v>1</v>
      </c>
      <c r="N15" s="72">
        <f>IRR(V25:V65)</f>
        <v>1.127650063064964</v>
      </c>
      <c r="P15" s="16"/>
      <c r="V15" s="45"/>
    </row>
    <row r="16" spans="2:23" outlineLevel="1" x14ac:dyDescent="0.45">
      <c r="C16" s="16" t="s">
        <v>19</v>
      </c>
      <c r="G16" s="11" t="s">
        <v>1</v>
      </c>
      <c r="H16" s="33">
        <v>1</v>
      </c>
      <c r="J16" s="16" t="s">
        <v>62</v>
      </c>
      <c r="M16" s="11" t="s">
        <v>6</v>
      </c>
      <c r="N16" s="73">
        <f>NPV(Discount_Rate,V25:V65)</f>
        <v>14.973466350612185</v>
      </c>
      <c r="P16" s="16"/>
      <c r="V16" s="45"/>
    </row>
    <row r="17" spans="2:25" outlineLevel="1" x14ac:dyDescent="0.45">
      <c r="C17" s="16" t="s">
        <v>20</v>
      </c>
      <c r="G17" s="11" t="s">
        <v>1</v>
      </c>
      <c r="H17" s="33">
        <v>0</v>
      </c>
      <c r="J17" s="74" t="s">
        <v>63</v>
      </c>
      <c r="P17" s="16"/>
      <c r="V17" s="69"/>
    </row>
    <row r="18" spans="2:25" outlineLevel="1" x14ac:dyDescent="0.45">
      <c r="C18" s="16" t="s">
        <v>18</v>
      </c>
      <c r="G18" s="11" t="s">
        <v>1</v>
      </c>
      <c r="H18" s="33">
        <v>0</v>
      </c>
      <c r="P18" s="16"/>
      <c r="V18" s="69"/>
    </row>
    <row r="19" spans="2:25" x14ac:dyDescent="0.45">
      <c r="C19" s="16"/>
      <c r="G19" s="22"/>
      <c r="H19" s="41"/>
      <c r="P19" s="16"/>
    </row>
    <row r="20" spans="2:25" x14ac:dyDescent="0.45">
      <c r="B20" s="2" t="s">
        <v>36</v>
      </c>
      <c r="C20" s="3"/>
      <c r="D20" s="9"/>
      <c r="E20" s="4"/>
      <c r="F20" s="3"/>
      <c r="G20" s="25"/>
      <c r="H20" s="3"/>
      <c r="I20" s="3"/>
      <c r="J20" s="4"/>
      <c r="K20" s="3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5" outlineLevel="1" x14ac:dyDescent="0.45">
      <c r="B21" s="1"/>
      <c r="C21" s="1"/>
      <c r="J21" s="1"/>
      <c r="Q21" s="1"/>
    </row>
    <row r="22" spans="2:25" outlineLevel="1" x14ac:dyDescent="0.45">
      <c r="C22" s="17"/>
      <c r="D22" s="17"/>
      <c r="E22" s="34"/>
      <c r="F22" s="35"/>
      <c r="G22" s="36"/>
      <c r="H22" s="37"/>
      <c r="J22" s="29" t="s">
        <v>29</v>
      </c>
      <c r="K22" s="28"/>
      <c r="L22" s="28"/>
      <c r="M22" s="28"/>
      <c r="O22" s="29" t="s">
        <v>30</v>
      </c>
      <c r="P22" s="28"/>
      <c r="Q22" s="28"/>
      <c r="R22" s="28"/>
      <c r="T22" s="29" t="s">
        <v>31</v>
      </c>
      <c r="U22" s="28"/>
      <c r="V22" s="28"/>
    </row>
    <row r="23" spans="2:25" outlineLevel="1" x14ac:dyDescent="0.45">
      <c r="C23" s="17"/>
      <c r="D23" s="29" t="s">
        <v>35</v>
      </c>
      <c r="E23" s="28"/>
      <c r="F23" s="28"/>
      <c r="G23" s="7" t="s">
        <v>3</v>
      </c>
      <c r="H23" s="26" t="s">
        <v>24</v>
      </c>
      <c r="J23" s="6" t="s">
        <v>11</v>
      </c>
      <c r="K23" s="6" t="s">
        <v>13</v>
      </c>
      <c r="L23" s="6" t="s">
        <v>12</v>
      </c>
      <c r="M23" s="6" t="s">
        <v>14</v>
      </c>
      <c r="N23" s="1"/>
      <c r="O23" s="6" t="s">
        <v>44</v>
      </c>
      <c r="P23" s="6" t="s">
        <v>45</v>
      </c>
      <c r="Q23" s="6" t="s">
        <v>22</v>
      </c>
      <c r="R23" s="6" t="s">
        <v>14</v>
      </c>
      <c r="S23" s="1"/>
      <c r="T23" s="6" t="s">
        <v>23</v>
      </c>
      <c r="U23" s="6" t="s">
        <v>15</v>
      </c>
      <c r="V23" s="6" t="s">
        <v>5</v>
      </c>
      <c r="W23" s="1"/>
    </row>
    <row r="24" spans="2:25" outlineLevel="1" x14ac:dyDescent="0.45">
      <c r="B24" s="18"/>
      <c r="C24" s="7" t="s">
        <v>16</v>
      </c>
      <c r="D24" s="7" t="s">
        <v>25</v>
      </c>
      <c r="E24" s="7" t="s">
        <v>27</v>
      </c>
      <c r="F24" s="7" t="s">
        <v>26</v>
      </c>
      <c r="G24" s="44" t="s">
        <v>28</v>
      </c>
      <c r="H24" s="29" t="s">
        <v>0</v>
      </c>
      <c r="I24" s="5"/>
      <c r="J24" s="7" t="s">
        <v>21</v>
      </c>
      <c r="K24" s="7" t="s">
        <v>21</v>
      </c>
      <c r="L24" s="7" t="s">
        <v>21</v>
      </c>
      <c r="M24" s="7" t="s">
        <v>21</v>
      </c>
      <c r="N24" s="1"/>
      <c r="O24" s="7" t="s">
        <v>21</v>
      </c>
      <c r="P24" s="7" t="s">
        <v>21</v>
      </c>
      <c r="Q24" s="7" t="s">
        <v>21</v>
      </c>
      <c r="R24" s="7" t="s">
        <v>21</v>
      </c>
      <c r="S24" s="1"/>
      <c r="T24" s="7" t="s">
        <v>21</v>
      </c>
      <c r="U24" s="7" t="s">
        <v>21</v>
      </c>
      <c r="V24" s="7" t="s">
        <v>21</v>
      </c>
      <c r="W24" s="1"/>
    </row>
    <row r="25" spans="2:25" outlineLevel="1" x14ac:dyDescent="0.45">
      <c r="B25" s="18"/>
      <c r="C25" s="5">
        <v>0</v>
      </c>
      <c r="D25" s="18"/>
      <c r="E25" s="50"/>
      <c r="F25" s="18"/>
      <c r="G25" s="18"/>
      <c r="H25" s="42"/>
      <c r="I25" s="5"/>
      <c r="O25" s="24"/>
      <c r="P25" s="39"/>
      <c r="Q25" s="39"/>
      <c r="R25" s="39"/>
      <c r="S25" s="24"/>
      <c r="T25" s="39">
        <f>M25-R25</f>
        <v>0</v>
      </c>
      <c r="U25" s="39">
        <f>-DC_Cost_per_Well</f>
        <v>-4.7</v>
      </c>
      <c r="V25" s="39">
        <f>T25+U25</f>
        <v>-4.7</v>
      </c>
    </row>
    <row r="26" spans="2:25" outlineLevel="1" x14ac:dyDescent="0.45">
      <c r="B26" s="31"/>
      <c r="C26" s="20">
        <f t="shared" ref="C26:C65" si="0">C25+1</f>
        <v>1</v>
      </c>
      <c r="D26" s="19">
        <f>G26*Gas_Pct</f>
        <v>2640.3363721735336</v>
      </c>
      <c r="E26" s="19">
        <f>G26*NGL_Pct/Bbl_to_Mcfe</f>
        <v>0</v>
      </c>
      <c r="F26" s="19">
        <f>G26*Oil_Pct/Bbl_to_Mcfe</f>
        <v>0</v>
      </c>
      <c r="G26" s="71">
        <f>Type_Curve!F26</f>
        <v>2640.3363721735336</v>
      </c>
      <c r="I26" s="19"/>
      <c r="J26" s="39">
        <f>D26*Gas_Price/Units</f>
        <v>7.9210091165206009</v>
      </c>
      <c r="K26" s="39">
        <f>E26*NGL_Price/Units</f>
        <v>0</v>
      </c>
      <c r="L26" s="39">
        <f>F26*Oil_Price/Units</f>
        <v>0</v>
      </c>
      <c r="M26" s="39">
        <f>SUM(J26:L26)</f>
        <v>7.9210091165206009</v>
      </c>
      <c r="O26" s="24">
        <f>IF(G26&lt;&gt;0,$N$7/(Units*Units),0)</f>
        <v>1.5708E-2</v>
      </c>
      <c r="P26" s="24">
        <f>G26*$N$8/Units</f>
        <v>5.2806727443470668E-2</v>
      </c>
      <c r="Q26" s="24">
        <f>G26*$N$9/Units</f>
        <v>1.0297311851476783</v>
      </c>
      <c r="R26" s="24">
        <f>SUM(O26:Q26)</f>
        <v>1.098245912591149</v>
      </c>
      <c r="S26" s="23"/>
      <c r="T26" s="40">
        <f>M26-R26</f>
        <v>6.8227632039294521</v>
      </c>
      <c r="U26" s="38">
        <v>0</v>
      </c>
      <c r="V26" s="40">
        <f t="shared" ref="V26:V27" si="1">T26+U26</f>
        <v>6.8227632039294521</v>
      </c>
      <c r="X26" s="40"/>
      <c r="Y26" s="23"/>
    </row>
    <row r="27" spans="2:25" outlineLevel="1" x14ac:dyDescent="0.45">
      <c r="B27" s="32"/>
      <c r="C27" s="20">
        <f t="shared" si="0"/>
        <v>2</v>
      </c>
      <c r="D27" s="19">
        <f>G27*Gas_Pct</f>
        <v>1676.0926463828775</v>
      </c>
      <c r="E27" s="19">
        <f>G27*NGL_Pct/Bbl_to_Mcfe</f>
        <v>0</v>
      </c>
      <c r="F27" s="19">
        <f>G27*Oil_Pct/Bbl_to_Mcfe</f>
        <v>0</v>
      </c>
      <c r="G27" s="19">
        <f>MIN(G26*(1-H27),EUR-SUM(G$26:G26))</f>
        <v>1676.0926463828775</v>
      </c>
      <c r="H27" s="68">
        <f>MAX(Type_Curve!G27,Terminal_Decline)</f>
        <v>0.36519730438621634</v>
      </c>
      <c r="I27" s="45"/>
      <c r="J27" s="40">
        <f>D27*Gas_Price/Units</f>
        <v>5.0282779391486327</v>
      </c>
      <c r="K27" s="40">
        <f>E27*NGL_Price/Units</f>
        <v>0</v>
      </c>
      <c r="L27" s="40">
        <f>F27*Oil_Price/Units</f>
        <v>0</v>
      </c>
      <c r="M27" s="40">
        <f t="shared" ref="M27:M65" si="2">SUM(J27:L27)</f>
        <v>5.0282779391486327</v>
      </c>
      <c r="O27" s="23">
        <f>IF(G27&lt;&gt;0,$N$7/(Units*Units),0)</f>
        <v>1.5708E-2</v>
      </c>
      <c r="P27" s="53">
        <f>G27*$N$8/Units</f>
        <v>3.3521852927657546E-2</v>
      </c>
      <c r="Q27" s="53">
        <f>G27*$N$9/Units</f>
        <v>0.65367613208932218</v>
      </c>
      <c r="R27" s="53">
        <f t="shared" ref="R27:R65" si="3">SUM(O27:Q27)</f>
        <v>0.70290598501697976</v>
      </c>
      <c r="S27" s="23"/>
      <c r="T27" s="40">
        <f>M27-R27</f>
        <v>4.3253719541316533</v>
      </c>
      <c r="U27" s="40">
        <f>U26</f>
        <v>0</v>
      </c>
      <c r="V27" s="40">
        <f t="shared" si="1"/>
        <v>4.3253719541316533</v>
      </c>
    </row>
    <row r="28" spans="2:25" outlineLevel="1" x14ac:dyDescent="0.45">
      <c r="B28" s="32"/>
      <c r="C28" s="20">
        <f t="shared" si="0"/>
        <v>3</v>
      </c>
      <c r="D28" s="19">
        <f>G28*Gas_Pct</f>
        <v>1233.8393150246832</v>
      </c>
      <c r="E28" s="19">
        <f>G28*NGL_Pct/Bbl_to_Mcfe</f>
        <v>0</v>
      </c>
      <c r="F28" s="19">
        <f>G28*Oil_Pct/Bbl_to_Mcfe</f>
        <v>0</v>
      </c>
      <c r="G28" s="19">
        <f>MIN(G27*(1-H28),EUR-SUM(G$26:G27))</f>
        <v>1233.8393150246832</v>
      </c>
      <c r="H28" s="68">
        <f>MAX(Type_Curve!G28,Terminal_Decline)</f>
        <v>0.26385971701063615</v>
      </c>
      <c r="I28" s="55"/>
      <c r="J28" s="40">
        <f>D28*Gas_Price/Units</f>
        <v>3.7015179450740496</v>
      </c>
      <c r="K28" s="40">
        <f>E28*NGL_Price/Units</f>
        <v>0</v>
      </c>
      <c r="L28" s="40">
        <f>F28*Oil_Price/Units</f>
        <v>0</v>
      </c>
      <c r="M28" s="40">
        <f t="shared" si="2"/>
        <v>3.7015179450740496</v>
      </c>
      <c r="O28" s="23">
        <f>IF(G28&lt;&gt;0,$N$7/(Units*Units),0)</f>
        <v>1.5708E-2</v>
      </c>
      <c r="P28" s="53">
        <f>G28*$N$8/Units</f>
        <v>2.4676786300493664E-2</v>
      </c>
      <c r="Q28" s="53">
        <f>G28*$N$9/Units</f>
        <v>0.48119733285962646</v>
      </c>
      <c r="R28" s="53">
        <f t="shared" si="3"/>
        <v>0.52158211916012009</v>
      </c>
      <c r="S28" s="23"/>
      <c r="T28" s="40">
        <f t="shared" ref="T28:T65" si="4">M28-R28</f>
        <v>3.1799358259139296</v>
      </c>
      <c r="U28" s="40">
        <f t="shared" ref="U28:U65" si="5">U27</f>
        <v>0</v>
      </c>
      <c r="V28" s="40">
        <f t="shared" ref="V28:V65" si="6">T28+U28</f>
        <v>3.1799358259139296</v>
      </c>
      <c r="X28" s="23"/>
    </row>
    <row r="29" spans="2:25" outlineLevel="1" x14ac:dyDescent="0.45">
      <c r="B29" s="32"/>
      <c r="C29" s="20">
        <f t="shared" si="0"/>
        <v>4</v>
      </c>
      <c r="D29" s="19">
        <f>G29*Gas_Pct</f>
        <v>989.13103470285773</v>
      </c>
      <c r="E29" s="19">
        <f>G29*NGL_Pct/Bbl_to_Mcfe</f>
        <v>0</v>
      </c>
      <c r="F29" s="19">
        <f>G29*Oil_Pct/Bbl_to_Mcfe</f>
        <v>0</v>
      </c>
      <c r="G29" s="19">
        <f>MIN(G28*(1-H29),EUR-SUM(G$26:G28))</f>
        <v>989.13103470285773</v>
      </c>
      <c r="H29" s="68">
        <f>MAX(Type_Curve!G29,Terminal_Decline)</f>
        <v>0.19833075291244873</v>
      </c>
      <c r="I29" s="55"/>
      <c r="J29" s="40">
        <f>D29*Gas_Price/Units</f>
        <v>2.9673931041085733</v>
      </c>
      <c r="K29" s="40">
        <f>E29*NGL_Price/Units</f>
        <v>0</v>
      </c>
      <c r="L29" s="40">
        <f>F29*Oil_Price/Units</f>
        <v>0</v>
      </c>
      <c r="M29" s="40">
        <f t="shared" si="2"/>
        <v>2.9673931041085733</v>
      </c>
      <c r="O29" s="23">
        <f>IF(G29&lt;&gt;0,$N$7/(Units*Units),0)</f>
        <v>1.5708E-2</v>
      </c>
      <c r="P29" s="53">
        <f>G29*$N$8/Units</f>
        <v>1.9782620694057153E-2</v>
      </c>
      <c r="Q29" s="53">
        <f>G29*$N$9/Units</f>
        <v>0.38576110353411452</v>
      </c>
      <c r="R29" s="53">
        <f t="shared" si="3"/>
        <v>0.4212517242281717</v>
      </c>
      <c r="S29" s="23"/>
      <c r="T29" s="40">
        <f t="shared" si="4"/>
        <v>2.5461413798804013</v>
      </c>
      <c r="U29" s="40">
        <f t="shared" si="5"/>
        <v>0</v>
      </c>
      <c r="V29" s="40">
        <f t="shared" si="6"/>
        <v>2.5461413798804013</v>
      </c>
    </row>
    <row r="30" spans="2:25" outlineLevel="1" x14ac:dyDescent="0.45">
      <c r="B30" s="32"/>
      <c r="C30" s="20">
        <f t="shared" si="0"/>
        <v>5</v>
      </c>
      <c r="D30" s="19">
        <f>G30*Gas_Pct</f>
        <v>831.4432322848852</v>
      </c>
      <c r="E30" s="19">
        <f>G30*NGL_Pct/Bbl_to_Mcfe</f>
        <v>0</v>
      </c>
      <c r="F30" s="19">
        <f>G30*Oil_Pct/Bbl_to_Mcfe</f>
        <v>0</v>
      </c>
      <c r="G30" s="19">
        <f>MIN(G29*(1-H30),EUR-SUM(G$26:G29))</f>
        <v>831.4432322848852</v>
      </c>
      <c r="H30" s="68">
        <f>MAX(Type_Curve!G30,Terminal_Decline)</f>
        <v>0.15942053872098261</v>
      </c>
      <c r="I30" s="55"/>
      <c r="J30" s="40">
        <f>D30*Gas_Price/Units</f>
        <v>2.4943296968546558</v>
      </c>
      <c r="K30" s="40">
        <f>E30*NGL_Price/Units</f>
        <v>0</v>
      </c>
      <c r="L30" s="40">
        <f>F30*Oil_Price/Units</f>
        <v>0</v>
      </c>
      <c r="M30" s="40">
        <f t="shared" si="2"/>
        <v>2.4943296968546558</v>
      </c>
      <c r="O30" s="23">
        <f>IF(G30&lt;&gt;0,$N$7/(Units*Units),0)</f>
        <v>1.5708E-2</v>
      </c>
      <c r="P30" s="53">
        <f>G30*$N$8/Units</f>
        <v>1.6628864645697704E-2</v>
      </c>
      <c r="Q30" s="53">
        <f>G30*$N$9/Units</f>
        <v>0.32426286059110526</v>
      </c>
      <c r="R30" s="53">
        <f t="shared" si="3"/>
        <v>0.35659972523680294</v>
      </c>
      <c r="S30" s="23"/>
      <c r="T30" s="40">
        <f t="shared" si="4"/>
        <v>2.1377299716178531</v>
      </c>
      <c r="U30" s="40">
        <f t="shared" si="5"/>
        <v>0</v>
      </c>
      <c r="V30" s="40">
        <f t="shared" si="6"/>
        <v>2.1377299716178531</v>
      </c>
    </row>
    <row r="31" spans="2:25" outlineLevel="1" x14ac:dyDescent="0.45">
      <c r="B31" s="32"/>
      <c r="C31" s="20">
        <f t="shared" si="0"/>
        <v>6</v>
      </c>
      <c r="D31" s="19">
        <f>G31*Gas_Pct</f>
        <v>720.47900587094875</v>
      </c>
      <c r="E31" s="19">
        <f>G31*NGL_Pct/Bbl_to_Mcfe</f>
        <v>0</v>
      </c>
      <c r="F31" s="19">
        <f>G31*Oil_Pct/Bbl_to_Mcfe</f>
        <v>0</v>
      </c>
      <c r="G31" s="19">
        <f>MIN(G30*(1-H31),EUR-SUM(G$26:G30))</f>
        <v>720.47900587094875</v>
      </c>
      <c r="H31" s="68">
        <f>MAX(Type_Curve!G31,Terminal_Decline)</f>
        <v>0.13345977464871073</v>
      </c>
      <c r="I31" s="55"/>
      <c r="J31" s="40">
        <f>D31*Gas_Price/Units</f>
        <v>2.1614370176128466</v>
      </c>
      <c r="K31" s="40">
        <f>E31*NGL_Price/Units</f>
        <v>0</v>
      </c>
      <c r="L31" s="40">
        <f>F31*Oil_Price/Units</f>
        <v>0</v>
      </c>
      <c r="M31" s="40">
        <f t="shared" si="2"/>
        <v>2.1614370176128466</v>
      </c>
      <c r="O31" s="23">
        <f>IF(G31&lt;&gt;0,$N$7/(Units*Units),0)</f>
        <v>1.5708E-2</v>
      </c>
      <c r="P31" s="53">
        <f>G31*$N$8/Units</f>
        <v>1.4409580117418976E-2</v>
      </c>
      <c r="Q31" s="53">
        <f>G31*$N$9/Units</f>
        <v>0.28098681228967004</v>
      </c>
      <c r="R31" s="53">
        <f t="shared" si="3"/>
        <v>0.31110439240708904</v>
      </c>
      <c r="S31" s="23"/>
      <c r="T31" s="40">
        <f t="shared" si="4"/>
        <v>1.8503326252057575</v>
      </c>
      <c r="U31" s="40">
        <f t="shared" si="5"/>
        <v>0</v>
      </c>
      <c r="V31" s="40">
        <f t="shared" si="6"/>
        <v>1.8503326252057575</v>
      </c>
    </row>
    <row r="32" spans="2:25" outlineLevel="1" x14ac:dyDescent="0.45">
      <c r="B32" s="32"/>
      <c r="C32" s="20">
        <f t="shared" si="0"/>
        <v>7</v>
      </c>
      <c r="D32" s="19">
        <f>G32*Gas_Pct</f>
        <v>637.7337666203307</v>
      </c>
      <c r="E32" s="19">
        <f>G32*NGL_Pct/Bbl_to_Mcfe</f>
        <v>0</v>
      </c>
      <c r="F32" s="19">
        <f>G32*Oil_Pct/Bbl_to_Mcfe</f>
        <v>0</v>
      </c>
      <c r="G32" s="19">
        <f>MIN(G31*(1-H32),EUR-SUM(G$26:G31))</f>
        <v>637.7337666203307</v>
      </c>
      <c r="H32" s="68">
        <f>MAX(Type_Curve!G32,Terminal_Decline)</f>
        <v>0.1148475369529911</v>
      </c>
      <c r="I32" s="55"/>
      <c r="J32" s="40">
        <f>D32*Gas_Price/Units</f>
        <v>1.9132012998609922</v>
      </c>
      <c r="K32" s="40">
        <f>E32*NGL_Price/Units</f>
        <v>0</v>
      </c>
      <c r="L32" s="40">
        <f>F32*Oil_Price/Units</f>
        <v>0</v>
      </c>
      <c r="M32" s="40">
        <f t="shared" si="2"/>
        <v>1.9132012998609922</v>
      </c>
      <c r="O32" s="23">
        <f>IF(G32&lt;&gt;0,$N$7/(Units*Units),0)</f>
        <v>1.5708E-2</v>
      </c>
      <c r="P32" s="53">
        <f>G32*$N$8/Units</f>
        <v>1.2754675332406614E-2</v>
      </c>
      <c r="Q32" s="53">
        <f>G32*$N$9/Units</f>
        <v>0.24871616898192897</v>
      </c>
      <c r="R32" s="53">
        <f t="shared" si="3"/>
        <v>0.27717884431433559</v>
      </c>
      <c r="S32" s="23"/>
      <c r="T32" s="40">
        <f t="shared" si="4"/>
        <v>1.6360224555466565</v>
      </c>
      <c r="U32" s="40">
        <f t="shared" si="5"/>
        <v>0</v>
      </c>
      <c r="V32" s="40">
        <f t="shared" si="6"/>
        <v>1.6360224555466565</v>
      </c>
    </row>
    <row r="33" spans="2:22" outlineLevel="1" x14ac:dyDescent="0.45">
      <c r="B33" s="32"/>
      <c r="C33" s="20">
        <f t="shared" si="0"/>
        <v>8</v>
      </c>
      <c r="D33" s="19">
        <f>G33*Gas_Pct</f>
        <v>573.43224977530542</v>
      </c>
      <c r="E33" s="19">
        <f>G33*NGL_Pct/Bbl_to_Mcfe</f>
        <v>0</v>
      </c>
      <c r="F33" s="19">
        <f>G33*Oil_Pct/Bbl_to_Mcfe</f>
        <v>0</v>
      </c>
      <c r="G33" s="19">
        <f>MIN(G32*(1-H33),EUR-SUM(G$26:G32))</f>
        <v>573.43224977530542</v>
      </c>
      <c r="H33" s="68">
        <f>MAX(Type_Curve!G33,Terminal_Decline)</f>
        <v>0.1008281515118622</v>
      </c>
      <c r="I33" s="55"/>
      <c r="J33" s="40">
        <f>D33*Gas_Price/Units</f>
        <v>1.7202967493259163</v>
      </c>
      <c r="K33" s="40">
        <f>E33*NGL_Price/Units</f>
        <v>0</v>
      </c>
      <c r="L33" s="40">
        <f>F33*Oil_Price/Units</f>
        <v>0</v>
      </c>
      <c r="M33" s="40">
        <f t="shared" si="2"/>
        <v>1.7202967493259163</v>
      </c>
      <c r="O33" s="23">
        <f>IF(G33&lt;&gt;0,$N$7/(Units*Units),0)</f>
        <v>1.5708E-2</v>
      </c>
      <c r="P33" s="53">
        <f>G33*$N$8/Units</f>
        <v>1.1468644995506108E-2</v>
      </c>
      <c r="Q33" s="53">
        <f>G33*$N$9/Units</f>
        <v>0.22363857741236914</v>
      </c>
      <c r="R33" s="53">
        <f t="shared" si="3"/>
        <v>0.25081522240787524</v>
      </c>
      <c r="S33" s="23"/>
      <c r="T33" s="40">
        <f t="shared" si="4"/>
        <v>1.469481526918041</v>
      </c>
      <c r="U33" s="40">
        <f t="shared" si="5"/>
        <v>0</v>
      </c>
      <c r="V33" s="40">
        <f t="shared" si="6"/>
        <v>1.469481526918041</v>
      </c>
    </row>
    <row r="34" spans="2:22" outlineLevel="1" x14ac:dyDescent="0.45">
      <c r="B34" s="32"/>
      <c r="C34" s="20">
        <f t="shared" si="0"/>
        <v>9</v>
      </c>
      <c r="D34" s="19">
        <f>G34*Gas_Pct</f>
        <v>521.89301783192423</v>
      </c>
      <c r="E34" s="19">
        <f>G34*NGL_Pct/Bbl_to_Mcfe</f>
        <v>0</v>
      </c>
      <c r="F34" s="19">
        <f>G34*Oil_Pct/Bbl_to_Mcfe</f>
        <v>0</v>
      </c>
      <c r="G34" s="19">
        <f>MIN(G33*(1-H34),EUR-SUM(G$26:G33))</f>
        <v>521.89301783192423</v>
      </c>
      <c r="H34" s="68">
        <f>MAX(Type_Curve!G34,Terminal_Decline)</f>
        <v>8.9878502584353037E-2</v>
      </c>
      <c r="I34" s="55"/>
      <c r="J34" s="40">
        <f>D34*Gas_Price/Units</f>
        <v>1.5656790534957727</v>
      </c>
      <c r="K34" s="40">
        <f>E34*NGL_Price/Units</f>
        <v>0</v>
      </c>
      <c r="L34" s="40">
        <f>F34*Oil_Price/Units</f>
        <v>0</v>
      </c>
      <c r="M34" s="40">
        <f t="shared" si="2"/>
        <v>1.5656790534957727</v>
      </c>
      <c r="O34" s="23">
        <f>IF(G34&lt;&gt;0,$N$7/(Units*Units),0)</f>
        <v>1.5708E-2</v>
      </c>
      <c r="P34" s="53">
        <f>G34*$N$8/Units</f>
        <v>1.0437860356638485E-2</v>
      </c>
      <c r="Q34" s="53">
        <f>G34*$N$9/Units</f>
        <v>0.20353827695445045</v>
      </c>
      <c r="R34" s="53">
        <f t="shared" si="3"/>
        <v>0.22968413731108894</v>
      </c>
      <c r="S34" s="23"/>
      <c r="T34" s="40">
        <f t="shared" si="4"/>
        <v>1.3359949161846838</v>
      </c>
      <c r="U34" s="40">
        <f t="shared" si="5"/>
        <v>0</v>
      </c>
      <c r="V34" s="40">
        <f t="shared" si="6"/>
        <v>1.3359949161846838</v>
      </c>
    </row>
    <row r="35" spans="2:22" outlineLevel="1" x14ac:dyDescent="0.45">
      <c r="B35" s="32"/>
      <c r="C35" s="20">
        <f t="shared" si="0"/>
        <v>10</v>
      </c>
      <c r="D35" s="19">
        <f>G35*Gas_Pct</f>
        <v>479.57527798541156</v>
      </c>
      <c r="E35" s="19">
        <f>G35*NGL_Pct/Bbl_to_Mcfe</f>
        <v>0</v>
      </c>
      <c r="F35" s="19">
        <f>G35*Oil_Pct/Bbl_to_Mcfe</f>
        <v>0</v>
      </c>
      <c r="G35" s="19">
        <f>MIN(G34*(1-H35),EUR-SUM(G$26:G34))</f>
        <v>479.57527798541156</v>
      </c>
      <c r="H35" s="68">
        <f>MAX(Type_Curve!G35,Terminal_Decline)</f>
        <v>8.1085085258107648E-2</v>
      </c>
      <c r="I35" s="55"/>
      <c r="J35" s="40">
        <f>D35*Gas_Price/Units</f>
        <v>1.4387258339562348</v>
      </c>
      <c r="K35" s="40">
        <f>E35*NGL_Price/Units</f>
        <v>0</v>
      </c>
      <c r="L35" s="40">
        <f>F35*Oil_Price/Units</f>
        <v>0</v>
      </c>
      <c r="M35" s="40">
        <f t="shared" si="2"/>
        <v>1.4387258339562348</v>
      </c>
      <c r="O35" s="23">
        <f>IF(G35&lt;&gt;0,$N$7/(Units*Units),0)</f>
        <v>1.5708E-2</v>
      </c>
      <c r="P35" s="53">
        <f>G35*$N$8/Units</f>
        <v>9.5915055597082313E-3</v>
      </c>
      <c r="Q35" s="53">
        <f>G35*$N$9/Units</f>
        <v>0.18703435841431051</v>
      </c>
      <c r="R35" s="53">
        <f t="shared" si="3"/>
        <v>0.21233386397401874</v>
      </c>
      <c r="S35" s="23"/>
      <c r="T35" s="40">
        <f t="shared" si="4"/>
        <v>1.2263919699822161</v>
      </c>
      <c r="U35" s="40">
        <f t="shared" si="5"/>
        <v>0</v>
      </c>
      <c r="V35" s="40">
        <f t="shared" si="6"/>
        <v>1.2263919699822161</v>
      </c>
    </row>
    <row r="36" spans="2:22" outlineLevel="1" x14ac:dyDescent="0.45">
      <c r="B36" s="32"/>
      <c r="C36" s="20">
        <f t="shared" si="0"/>
        <v>11</v>
      </c>
      <c r="D36" s="19">
        <f>G36*Gas_Pct</f>
        <v>444.15117411437353</v>
      </c>
      <c r="E36" s="19">
        <f>G36*NGL_Pct/Bbl_to_Mcfe</f>
        <v>0</v>
      </c>
      <c r="F36" s="19">
        <f>G36*Oil_Pct/Bbl_to_Mcfe</f>
        <v>0</v>
      </c>
      <c r="G36" s="19">
        <f>MIN(G35*(1-H36),EUR-SUM(G$26:G35))</f>
        <v>444.15117411437353</v>
      </c>
      <c r="H36" s="68">
        <f>MAX(Type_Curve!G36,Terminal_Decline)</f>
        <v>7.3865575431341535E-2</v>
      </c>
      <c r="I36" s="55"/>
      <c r="J36" s="40">
        <f>D36*Gas_Price/Units</f>
        <v>1.3324535223431206</v>
      </c>
      <c r="K36" s="40">
        <f>E36*NGL_Price/Units</f>
        <v>0</v>
      </c>
      <c r="L36" s="40">
        <f>F36*Oil_Price/Units</f>
        <v>0</v>
      </c>
      <c r="M36" s="40">
        <f t="shared" si="2"/>
        <v>1.3324535223431206</v>
      </c>
      <c r="O36" s="23">
        <f>IF(G36&lt;&gt;0,$N$7/(Units*Units),0)</f>
        <v>1.5708E-2</v>
      </c>
      <c r="P36" s="53">
        <f>G36*$N$8/Units</f>
        <v>8.8830234822874707E-3</v>
      </c>
      <c r="Q36" s="53">
        <f>G36*$N$9/Units</f>
        <v>0.17321895790460567</v>
      </c>
      <c r="R36" s="53">
        <f t="shared" si="3"/>
        <v>0.19780998138689315</v>
      </c>
      <c r="S36" s="23"/>
      <c r="T36" s="40">
        <f t="shared" si="4"/>
        <v>1.1346435409562274</v>
      </c>
      <c r="U36" s="40">
        <f t="shared" si="5"/>
        <v>0</v>
      </c>
      <c r="V36" s="40">
        <f t="shared" si="6"/>
        <v>1.1346435409562274</v>
      </c>
    </row>
    <row r="37" spans="2:22" outlineLevel="1" x14ac:dyDescent="0.45">
      <c r="B37" s="32"/>
      <c r="C37" s="20">
        <f t="shared" si="0"/>
        <v>12</v>
      </c>
      <c r="D37" s="19">
        <f>G37*Gas_Pct</f>
        <v>414.02407986026276</v>
      </c>
      <c r="E37" s="19">
        <f>G37*NGL_Pct/Bbl_to_Mcfe</f>
        <v>0</v>
      </c>
      <c r="F37" s="19">
        <f>G37*Oil_Pct/Bbl_to_Mcfe</f>
        <v>0</v>
      </c>
      <c r="G37" s="19">
        <f>MIN(G36*(1-H37),EUR-SUM(G$26:G36))</f>
        <v>414.02407986026276</v>
      </c>
      <c r="H37" s="68">
        <f>MAX(Type_Curve!G37,Terminal_Decline)</f>
        <v>6.783072073192975E-2</v>
      </c>
      <c r="I37" s="55"/>
      <c r="J37" s="40">
        <f>D37*Gas_Price/Units</f>
        <v>1.2420722395807884</v>
      </c>
      <c r="K37" s="40">
        <f>E37*NGL_Price/Units</f>
        <v>0</v>
      </c>
      <c r="L37" s="40">
        <f>F37*Oil_Price/Units</f>
        <v>0</v>
      </c>
      <c r="M37" s="40">
        <f t="shared" si="2"/>
        <v>1.2420722395807884</v>
      </c>
      <c r="O37" s="23">
        <f>IF(G37&lt;&gt;0,$N$7/(Units*Units),0)</f>
        <v>1.5708E-2</v>
      </c>
      <c r="P37" s="53">
        <f>G37*$N$8/Units</f>
        <v>8.2804815972052567E-3</v>
      </c>
      <c r="Q37" s="53">
        <f>G37*$N$9/Units</f>
        <v>0.16146939114550246</v>
      </c>
      <c r="R37" s="53">
        <f t="shared" si="3"/>
        <v>0.18545787274270772</v>
      </c>
      <c r="S37" s="23"/>
      <c r="T37" s="40">
        <f t="shared" si="4"/>
        <v>1.0566143668380807</v>
      </c>
      <c r="U37" s="40">
        <f t="shared" si="5"/>
        <v>0</v>
      </c>
      <c r="V37" s="40">
        <f t="shared" si="6"/>
        <v>1.0566143668380807</v>
      </c>
    </row>
    <row r="38" spans="2:22" outlineLevel="1" x14ac:dyDescent="0.45">
      <c r="B38" s="32"/>
      <c r="C38" s="20">
        <f t="shared" si="0"/>
        <v>13</v>
      </c>
      <c r="D38" s="19">
        <f>G38*Gas_Pct</f>
        <v>388.06053923575809</v>
      </c>
      <c r="E38" s="19">
        <f>G38*NGL_Pct/Bbl_to_Mcfe</f>
        <v>0</v>
      </c>
      <c r="F38" s="19">
        <f>G38*Oil_Pct/Bbl_to_Mcfe</f>
        <v>0</v>
      </c>
      <c r="G38" s="19">
        <f>MIN(G37*(1-H38),EUR-SUM(G$26:G37))</f>
        <v>388.06053923575809</v>
      </c>
      <c r="H38" s="68">
        <f>MAX(Type_Curve!G38,Terminal_Decline)</f>
        <v>6.2710218771013571E-2</v>
      </c>
      <c r="I38" s="55"/>
      <c r="J38" s="40">
        <f>D38*Gas_Price/Units</f>
        <v>1.1641816177072741</v>
      </c>
      <c r="K38" s="40">
        <f>E38*NGL_Price/Units</f>
        <v>0</v>
      </c>
      <c r="L38" s="40">
        <f>F38*Oil_Price/Units</f>
        <v>0</v>
      </c>
      <c r="M38" s="40">
        <f t="shared" si="2"/>
        <v>1.1641816177072741</v>
      </c>
      <c r="O38" s="23">
        <f>IF(G38&lt;&gt;0,$N$7/(Units*Units),0)</f>
        <v>1.5708E-2</v>
      </c>
      <c r="P38" s="53">
        <f>G38*$N$8/Units</f>
        <v>7.7612107847151611E-3</v>
      </c>
      <c r="Q38" s="53">
        <f>G38*$N$9/Units</f>
        <v>0.15134361030194565</v>
      </c>
      <c r="R38" s="53">
        <f t="shared" si="3"/>
        <v>0.17481282108666082</v>
      </c>
      <c r="S38" s="23"/>
      <c r="T38" s="40">
        <f t="shared" si="4"/>
        <v>0.98936879662061328</v>
      </c>
      <c r="U38" s="40">
        <f t="shared" si="5"/>
        <v>0</v>
      </c>
      <c r="V38" s="40">
        <f t="shared" si="6"/>
        <v>0.98936879662061328</v>
      </c>
    </row>
    <row r="39" spans="2:22" outlineLevel="1" x14ac:dyDescent="0.45">
      <c r="B39" s="32"/>
      <c r="C39" s="20">
        <f t="shared" si="0"/>
        <v>14</v>
      </c>
      <c r="D39" s="19">
        <f>G39*Gas_Pct</f>
        <v>365.43257709075186</v>
      </c>
      <c r="E39" s="19">
        <f>G39*NGL_Pct/Bbl_to_Mcfe</f>
        <v>0</v>
      </c>
      <c r="F39" s="19">
        <f>G39*Oil_Pct/Bbl_to_Mcfe</f>
        <v>0</v>
      </c>
      <c r="G39" s="19">
        <f>MIN(G38*(1-H39),EUR-SUM(G$26:G38))</f>
        <v>365.43257709075186</v>
      </c>
      <c r="H39" s="68">
        <f>MAX(Type_Curve!G39,Terminal_Decline)</f>
        <v>5.8310391954743634E-2</v>
      </c>
      <c r="I39" s="55"/>
      <c r="J39" s="40">
        <f>D39*Gas_Price/Units</f>
        <v>1.0962977312722555</v>
      </c>
      <c r="K39" s="40">
        <f>E39*NGL_Price/Units</f>
        <v>0</v>
      </c>
      <c r="L39" s="40">
        <f>F39*Oil_Price/Units</f>
        <v>0</v>
      </c>
      <c r="M39" s="40">
        <f t="shared" si="2"/>
        <v>1.0962977312722555</v>
      </c>
      <c r="O39" s="23">
        <f>IF(G39&lt;&gt;0,$N$7/(Units*Units),0)</f>
        <v>1.5708E-2</v>
      </c>
      <c r="P39" s="53">
        <f>G39*$N$8/Units</f>
        <v>7.3086515418150375E-3</v>
      </c>
      <c r="Q39" s="53">
        <f>G39*$N$9/Units</f>
        <v>0.14251870506539321</v>
      </c>
      <c r="R39" s="53">
        <f t="shared" si="3"/>
        <v>0.16553535660720825</v>
      </c>
      <c r="S39" s="23"/>
      <c r="T39" s="40">
        <f t="shared" si="4"/>
        <v>0.9307623746650473</v>
      </c>
      <c r="U39" s="40">
        <f t="shared" si="5"/>
        <v>0</v>
      </c>
      <c r="V39" s="40">
        <f t="shared" si="6"/>
        <v>0.9307623746650473</v>
      </c>
    </row>
    <row r="40" spans="2:22" outlineLevel="1" x14ac:dyDescent="0.45">
      <c r="B40" s="32"/>
      <c r="C40" s="20">
        <f t="shared" si="0"/>
        <v>15</v>
      </c>
      <c r="D40" s="19">
        <f>G40*Gas_Pct</f>
        <v>345.52060423911621</v>
      </c>
      <c r="E40" s="19">
        <f>G40*NGL_Pct/Bbl_to_Mcfe</f>
        <v>0</v>
      </c>
      <c r="F40" s="19">
        <f>G40*Oil_Pct/Bbl_to_Mcfe</f>
        <v>0</v>
      </c>
      <c r="G40" s="19">
        <f>MIN(G39*(1-H40),EUR-SUM(G$26:G39))</f>
        <v>345.52060423911621</v>
      </c>
      <c r="H40" s="68">
        <f>MAX(Type_Curve!G40,Terminal_Decline)</f>
        <v>5.4488773305754523E-2</v>
      </c>
      <c r="I40" s="55"/>
      <c r="J40" s="40">
        <f>D40*Gas_Price/Units</f>
        <v>1.0365618127173486</v>
      </c>
      <c r="K40" s="40">
        <f>E40*NGL_Price/Units</f>
        <v>0</v>
      </c>
      <c r="L40" s="40">
        <f>F40*Oil_Price/Units</f>
        <v>0</v>
      </c>
      <c r="M40" s="40">
        <f t="shared" si="2"/>
        <v>1.0365618127173486</v>
      </c>
      <c r="O40" s="23">
        <f>IF(G40&lt;&gt;0,$N$7/(Units*Units),0)</f>
        <v>1.5708E-2</v>
      </c>
      <c r="P40" s="53">
        <f>G40*$N$8/Units</f>
        <v>6.9104120847823238E-3</v>
      </c>
      <c r="Q40" s="53">
        <f>G40*$N$9/Units</f>
        <v>0.13475303565325533</v>
      </c>
      <c r="R40" s="53">
        <f t="shared" si="3"/>
        <v>0.15737144773803766</v>
      </c>
      <c r="S40" s="23"/>
      <c r="T40" s="40">
        <f t="shared" si="4"/>
        <v>0.87919036497931091</v>
      </c>
      <c r="U40" s="40">
        <f t="shared" si="5"/>
        <v>0</v>
      </c>
      <c r="V40" s="40">
        <f t="shared" si="6"/>
        <v>0.87919036497931091</v>
      </c>
    </row>
    <row r="41" spans="2:22" outlineLevel="1" x14ac:dyDescent="0.45">
      <c r="B41" s="32"/>
      <c r="C41" s="20">
        <f t="shared" si="0"/>
        <v>16</v>
      </c>
      <c r="D41" s="19">
        <f>G41*Gas_Pct</f>
        <v>327.85130333799884</v>
      </c>
      <c r="E41" s="19">
        <f>G41*NGL_Pct/Bbl_to_Mcfe</f>
        <v>0</v>
      </c>
      <c r="F41" s="19">
        <f>G41*Oil_Pct/Bbl_to_Mcfe</f>
        <v>0</v>
      </c>
      <c r="G41" s="19">
        <f>MIN(G40*(1-H41),EUR-SUM(G$26:G40))</f>
        <v>327.85130333799884</v>
      </c>
      <c r="H41" s="68">
        <f>MAX(Type_Curve!G41,Terminal_Decline)</f>
        <v>5.113819750352544E-2</v>
      </c>
      <c r="I41" s="55"/>
      <c r="J41" s="40">
        <f>D41*Gas_Price/Units</f>
        <v>0.9835539100139965</v>
      </c>
      <c r="K41" s="40">
        <f>E41*NGL_Price/Units</f>
        <v>0</v>
      </c>
      <c r="L41" s="40">
        <f>F41*Oil_Price/Units</f>
        <v>0</v>
      </c>
      <c r="M41" s="40">
        <f t="shared" si="2"/>
        <v>0.9835539100139965</v>
      </c>
      <c r="O41" s="23">
        <f>IF(G41&lt;&gt;0,$N$7/(Units*Units),0)</f>
        <v>1.5708E-2</v>
      </c>
      <c r="P41" s="53">
        <f>G41*$N$8/Units</f>
        <v>6.5570260667599765E-3</v>
      </c>
      <c r="Q41" s="53">
        <f>G41*$N$9/Units</f>
        <v>0.12786200830181957</v>
      </c>
      <c r="R41" s="53">
        <f t="shared" si="3"/>
        <v>0.15012703436857955</v>
      </c>
      <c r="S41" s="23"/>
      <c r="T41" s="40">
        <f t="shared" si="4"/>
        <v>0.83342687564541695</v>
      </c>
      <c r="U41" s="40">
        <f t="shared" si="5"/>
        <v>0</v>
      </c>
      <c r="V41" s="40">
        <f t="shared" si="6"/>
        <v>0.83342687564541695</v>
      </c>
    </row>
    <row r="42" spans="2:22" outlineLevel="1" x14ac:dyDescent="0.45">
      <c r="B42" s="32"/>
      <c r="C42" s="20">
        <f t="shared" si="0"/>
        <v>17</v>
      </c>
      <c r="D42" s="19">
        <f>G42*Gas_Pct</f>
        <v>311.4587381710989</v>
      </c>
      <c r="E42" s="19">
        <f>G42*NGL_Pct/Bbl_to_Mcfe</f>
        <v>0</v>
      </c>
      <c r="F42" s="19">
        <f>G42*Oil_Pct/Bbl_to_Mcfe</f>
        <v>0</v>
      </c>
      <c r="G42" s="19">
        <f>MIN(G41*(1-H42),EUR-SUM(G$26:G41))</f>
        <v>311.4587381710989</v>
      </c>
      <c r="H42" s="68">
        <f>MAX(Type_Curve!G42,Terminal_Decline)</f>
        <v>0.05</v>
      </c>
      <c r="I42" s="55"/>
      <c r="J42" s="40">
        <f>D42*Gas_Price/Units</f>
        <v>0.93437621451329667</v>
      </c>
      <c r="K42" s="40">
        <f>E42*NGL_Price/Units</f>
        <v>0</v>
      </c>
      <c r="L42" s="40">
        <f>F42*Oil_Price/Units</f>
        <v>0</v>
      </c>
      <c r="M42" s="40">
        <f t="shared" si="2"/>
        <v>0.93437621451329667</v>
      </c>
      <c r="O42" s="23">
        <f>IF(G42&lt;&gt;0,$N$7/(Units*Units),0)</f>
        <v>1.5708E-2</v>
      </c>
      <c r="P42" s="53">
        <f>G42*$N$8/Units</f>
        <v>6.2291747634219789E-3</v>
      </c>
      <c r="Q42" s="53">
        <f>G42*$N$9/Units</f>
        <v>0.12146890788672857</v>
      </c>
      <c r="R42" s="53">
        <f t="shared" si="3"/>
        <v>0.14340608265015053</v>
      </c>
      <c r="S42" s="23"/>
      <c r="T42" s="40">
        <f t="shared" si="4"/>
        <v>0.79097013186314613</v>
      </c>
      <c r="U42" s="40">
        <f t="shared" si="5"/>
        <v>0</v>
      </c>
      <c r="V42" s="40">
        <f t="shared" si="6"/>
        <v>0.79097013186314613</v>
      </c>
    </row>
    <row r="43" spans="2:22" outlineLevel="1" x14ac:dyDescent="0.45">
      <c r="B43" s="32"/>
      <c r="C43" s="20">
        <f t="shared" si="0"/>
        <v>18</v>
      </c>
      <c r="D43" s="19">
        <f>G43*Gas_Pct</f>
        <v>295.88580126254396</v>
      </c>
      <c r="E43" s="19">
        <f>G43*NGL_Pct/Bbl_to_Mcfe</f>
        <v>0</v>
      </c>
      <c r="F43" s="19">
        <f>G43*Oil_Pct/Bbl_to_Mcfe</f>
        <v>0</v>
      </c>
      <c r="G43" s="19">
        <f>MIN(G42*(1-H43),EUR-SUM(G$26:G42))</f>
        <v>295.88580126254396</v>
      </c>
      <c r="H43" s="68">
        <f>MAX(Type_Curve!G43,Terminal_Decline)</f>
        <v>0.05</v>
      </c>
      <c r="J43" s="40">
        <f>D43*Gas_Price/Units</f>
        <v>0.88765740378763192</v>
      </c>
      <c r="K43" s="40">
        <f>E43*NGL_Price/Units</f>
        <v>0</v>
      </c>
      <c r="L43" s="40">
        <f>F43*Oil_Price/Units</f>
        <v>0</v>
      </c>
      <c r="M43" s="40">
        <f t="shared" si="2"/>
        <v>0.88765740378763192</v>
      </c>
      <c r="O43" s="23">
        <f>IF(G43&lt;&gt;0,$N$7/(Units*Units),0)</f>
        <v>1.5708E-2</v>
      </c>
      <c r="P43" s="53">
        <f>G43*$N$8/Units</f>
        <v>5.9177160252508795E-3</v>
      </c>
      <c r="Q43" s="53">
        <f>G43*$N$9/Units</f>
        <v>0.11539546249239216</v>
      </c>
      <c r="R43" s="53">
        <f t="shared" si="3"/>
        <v>0.13702117851764303</v>
      </c>
      <c r="S43" s="23"/>
      <c r="T43" s="40">
        <f t="shared" si="4"/>
        <v>0.75063622526998885</v>
      </c>
      <c r="U43" s="40">
        <f t="shared" si="5"/>
        <v>0</v>
      </c>
      <c r="V43" s="40">
        <f t="shared" si="6"/>
        <v>0.75063622526998885</v>
      </c>
    </row>
    <row r="44" spans="2:22" outlineLevel="1" x14ac:dyDescent="0.45">
      <c r="B44" s="32"/>
      <c r="C44" s="20">
        <f t="shared" si="0"/>
        <v>19</v>
      </c>
      <c r="D44" s="19">
        <f>G44*Gas_Pct</f>
        <v>281.09151119941674</v>
      </c>
      <c r="E44" s="19">
        <f>G44*NGL_Pct/Bbl_to_Mcfe</f>
        <v>0</v>
      </c>
      <c r="F44" s="19">
        <f>G44*Oil_Pct/Bbl_to_Mcfe</f>
        <v>0</v>
      </c>
      <c r="G44" s="19">
        <f>MIN(G43*(1-H44),EUR-SUM(G$26:G43))</f>
        <v>281.09151119941674</v>
      </c>
      <c r="H44" s="68">
        <f>MAX(Type_Curve!G44,Terminal_Decline)</f>
        <v>0.05</v>
      </c>
      <c r="I44" s="41"/>
      <c r="J44" s="40">
        <f>D44*Gas_Price/Units</f>
        <v>0.84327453359825022</v>
      </c>
      <c r="K44" s="40">
        <f>E44*NGL_Price/Units</f>
        <v>0</v>
      </c>
      <c r="L44" s="40">
        <f>F44*Oil_Price/Units</f>
        <v>0</v>
      </c>
      <c r="M44" s="40">
        <f t="shared" si="2"/>
        <v>0.84327453359825022</v>
      </c>
      <c r="O44" s="23">
        <f>IF(G44&lt;&gt;0,$N$7/(Units*Units),0)</f>
        <v>1.5708E-2</v>
      </c>
      <c r="P44" s="53">
        <f>G44*$N$8/Units</f>
        <v>5.6218302239883344E-3</v>
      </c>
      <c r="Q44" s="53">
        <f>G44*$N$9/Units</f>
        <v>0.10962568936777253</v>
      </c>
      <c r="R44" s="53">
        <f t="shared" si="3"/>
        <v>0.13095551959176088</v>
      </c>
      <c r="S44" s="23"/>
      <c r="T44" s="40">
        <f t="shared" si="4"/>
        <v>0.71231901400648934</v>
      </c>
      <c r="U44" s="40">
        <f t="shared" si="5"/>
        <v>0</v>
      </c>
      <c r="V44" s="40">
        <f t="shared" si="6"/>
        <v>0.71231901400648934</v>
      </c>
    </row>
    <row r="45" spans="2:22" outlineLevel="1" x14ac:dyDescent="0.45">
      <c r="B45" s="32"/>
      <c r="C45" s="20">
        <f t="shared" si="0"/>
        <v>20</v>
      </c>
      <c r="D45" s="19">
        <f>G45*Gas_Pct</f>
        <v>267.03693563944591</v>
      </c>
      <c r="E45" s="19">
        <f>G45*NGL_Pct/Bbl_to_Mcfe</f>
        <v>0</v>
      </c>
      <c r="F45" s="19">
        <f>G45*Oil_Pct/Bbl_to_Mcfe</f>
        <v>0</v>
      </c>
      <c r="G45" s="19">
        <f>MIN(G44*(1-H45),EUR-SUM(G$26:G44))</f>
        <v>267.03693563944591</v>
      </c>
      <c r="H45" s="68">
        <f>MAX(Type_Curve!G45,Terminal_Decline)</f>
        <v>0.05</v>
      </c>
      <c r="I45" s="41"/>
      <c r="J45" s="40">
        <f>D45*Gas_Price/Units</f>
        <v>0.80111080691833769</v>
      </c>
      <c r="K45" s="40">
        <f>E45*NGL_Price/Units</f>
        <v>0</v>
      </c>
      <c r="L45" s="40">
        <f>F45*Oil_Price/Units</f>
        <v>0</v>
      </c>
      <c r="M45" s="40">
        <f t="shared" si="2"/>
        <v>0.80111080691833769</v>
      </c>
      <c r="O45" s="23">
        <f>IF(G45&lt;&gt;0,$N$7/(Units*Units),0)</f>
        <v>1.5708E-2</v>
      </c>
      <c r="P45" s="53">
        <f>G45*$N$8/Units</f>
        <v>5.3407387127889184E-3</v>
      </c>
      <c r="Q45" s="53">
        <f>G45*$N$9/Units</f>
        <v>0.10414440489938391</v>
      </c>
      <c r="R45" s="53">
        <f t="shared" si="3"/>
        <v>0.12519314361217282</v>
      </c>
      <c r="S45" s="23"/>
      <c r="T45" s="40">
        <f t="shared" si="4"/>
        <v>0.67591766330616487</v>
      </c>
      <c r="U45" s="40">
        <f t="shared" si="5"/>
        <v>0</v>
      </c>
      <c r="V45" s="40">
        <f t="shared" si="6"/>
        <v>0.67591766330616487</v>
      </c>
    </row>
    <row r="46" spans="2:22" outlineLevel="1" x14ac:dyDescent="0.45">
      <c r="B46" s="32"/>
      <c r="C46" s="20">
        <f t="shared" si="0"/>
        <v>21</v>
      </c>
      <c r="D46" s="19">
        <f>G46*Gas_Pct</f>
        <v>253.6850888574736</v>
      </c>
      <c r="E46" s="19">
        <f>G46*NGL_Pct/Bbl_to_Mcfe</f>
        <v>0</v>
      </c>
      <c r="F46" s="19">
        <f>G46*Oil_Pct/Bbl_to_Mcfe</f>
        <v>0</v>
      </c>
      <c r="G46" s="19">
        <f>MIN(G45*(1-H46),EUR-SUM(G$26:G45))</f>
        <v>253.6850888574736</v>
      </c>
      <c r="H46" s="68">
        <f>MAX(Type_Curve!G46,Terminal_Decline)</f>
        <v>0.05</v>
      </c>
      <c r="I46" s="41"/>
      <c r="J46" s="40">
        <f>D46*Gas_Price/Units</f>
        <v>0.76105526657242084</v>
      </c>
      <c r="K46" s="40">
        <f>E46*NGL_Price/Units</f>
        <v>0</v>
      </c>
      <c r="L46" s="40">
        <f>F46*Oil_Price/Units</f>
        <v>0</v>
      </c>
      <c r="M46" s="40">
        <f t="shared" si="2"/>
        <v>0.76105526657242084</v>
      </c>
      <c r="O46" s="23">
        <f>IF(G46&lt;&gt;0,$N$7/(Units*Units),0)</f>
        <v>1.5708E-2</v>
      </c>
      <c r="P46" s="53">
        <f>G46*$N$8/Units</f>
        <v>5.0737017771494723E-3</v>
      </c>
      <c r="Q46" s="53">
        <f>G46*$N$9/Units</f>
        <v>9.8937184654414714E-2</v>
      </c>
      <c r="R46" s="53">
        <f t="shared" si="3"/>
        <v>0.11971888643156418</v>
      </c>
      <c r="S46" s="23"/>
      <c r="T46" s="40">
        <f t="shared" si="4"/>
        <v>0.6413363801408567</v>
      </c>
      <c r="U46" s="40">
        <f t="shared" si="5"/>
        <v>0</v>
      </c>
      <c r="V46" s="40">
        <f t="shared" si="6"/>
        <v>0.6413363801408567</v>
      </c>
    </row>
    <row r="47" spans="2:22" outlineLevel="1" x14ac:dyDescent="0.45">
      <c r="B47" s="32"/>
      <c r="C47" s="20">
        <f t="shared" si="0"/>
        <v>22</v>
      </c>
      <c r="D47" s="19">
        <f>G47*Gas_Pct</f>
        <v>241.00083441459992</v>
      </c>
      <c r="E47" s="19">
        <f>G47*NGL_Pct/Bbl_to_Mcfe</f>
        <v>0</v>
      </c>
      <c r="F47" s="19">
        <f>G47*Oil_Pct/Bbl_to_Mcfe</f>
        <v>0</v>
      </c>
      <c r="G47" s="19">
        <f>MIN(G46*(1-H47),EUR-SUM(G$26:G46))</f>
        <v>241.00083441459992</v>
      </c>
      <c r="H47" s="68">
        <f>MAX(Type_Curve!G47,Terminal_Decline)</f>
        <v>0.05</v>
      </c>
      <c r="I47" s="41"/>
      <c r="J47" s="40">
        <f>D47*Gas_Price/Units</f>
        <v>0.72300250324379978</v>
      </c>
      <c r="K47" s="40">
        <f>E47*NGL_Price/Units</f>
        <v>0</v>
      </c>
      <c r="L47" s="40">
        <f>F47*Oil_Price/Units</f>
        <v>0</v>
      </c>
      <c r="M47" s="40">
        <f t="shared" si="2"/>
        <v>0.72300250324379978</v>
      </c>
      <c r="O47" s="23">
        <f>IF(G47&lt;&gt;0,$N$7/(Units*Units),0)</f>
        <v>1.5708E-2</v>
      </c>
      <c r="P47" s="53">
        <f>G47*$N$8/Units</f>
        <v>4.8200166882919979E-3</v>
      </c>
      <c r="Q47" s="53">
        <f>G47*$N$9/Units</f>
        <v>9.3990325421693971E-2</v>
      </c>
      <c r="R47" s="53">
        <f t="shared" si="3"/>
        <v>0.11451834210998596</v>
      </c>
      <c r="S47" s="23"/>
      <c r="T47" s="40">
        <f t="shared" si="4"/>
        <v>0.60848416113381387</v>
      </c>
      <c r="U47" s="40">
        <f t="shared" si="5"/>
        <v>0</v>
      </c>
      <c r="V47" s="40">
        <f t="shared" si="6"/>
        <v>0.60848416113381387</v>
      </c>
    </row>
    <row r="48" spans="2:22" outlineLevel="1" x14ac:dyDescent="0.45">
      <c r="B48" s="32"/>
      <c r="C48" s="20">
        <f t="shared" si="0"/>
        <v>23</v>
      </c>
      <c r="D48" s="19">
        <f>G48*Gas_Pct</f>
        <v>10.844893924400822</v>
      </c>
      <c r="E48" s="19">
        <f>G48*NGL_Pct/Bbl_to_Mcfe</f>
        <v>0</v>
      </c>
      <c r="F48" s="19">
        <f>G48*Oil_Pct/Bbl_to_Mcfe</f>
        <v>0</v>
      </c>
      <c r="G48" s="19">
        <f>MIN(G47*(1-H48),EUR-SUM(G$26:G47))</f>
        <v>10.844893924400822</v>
      </c>
      <c r="H48" s="68">
        <f>MAX(Type_Curve!G48,Terminal_Decline)</f>
        <v>0.05</v>
      </c>
      <c r="I48" s="41"/>
      <c r="J48" s="40">
        <f>D48*Gas_Price/Units</f>
        <v>3.2534681773202463E-2</v>
      </c>
      <c r="K48" s="40">
        <f>E48*NGL_Price/Units</f>
        <v>0</v>
      </c>
      <c r="L48" s="40">
        <f>F48*Oil_Price/Units</f>
        <v>0</v>
      </c>
      <c r="M48" s="40">
        <f t="shared" si="2"/>
        <v>3.2534681773202463E-2</v>
      </c>
      <c r="O48" s="23">
        <f>IF(G48&lt;&gt;0,$N$7/(Units*Units),0)</f>
        <v>1.5708E-2</v>
      </c>
      <c r="P48" s="53">
        <f>G48*$N$8/Units</f>
        <v>2.1689787848801646E-4</v>
      </c>
      <c r="Q48" s="53">
        <f>G48*$N$9/Units</f>
        <v>4.2295086305163213E-3</v>
      </c>
      <c r="R48" s="53">
        <f t="shared" si="3"/>
        <v>2.0154406509004338E-2</v>
      </c>
      <c r="S48" s="23"/>
      <c r="T48" s="40">
        <f t="shared" si="4"/>
        <v>1.2380275264198125E-2</v>
      </c>
      <c r="U48" s="40">
        <f t="shared" si="5"/>
        <v>0</v>
      </c>
      <c r="V48" s="40">
        <f t="shared" si="6"/>
        <v>1.2380275264198125E-2</v>
      </c>
    </row>
    <row r="49" spans="2:22" outlineLevel="1" x14ac:dyDescent="0.45">
      <c r="B49" s="32"/>
      <c r="C49" s="20">
        <f t="shared" si="0"/>
        <v>24</v>
      </c>
      <c r="D49" s="19">
        <f>G49*Gas_Pct</f>
        <v>0</v>
      </c>
      <c r="E49" s="19">
        <f>G49*NGL_Pct/Bbl_to_Mcfe</f>
        <v>0</v>
      </c>
      <c r="F49" s="19">
        <f>G49*Oil_Pct/Bbl_to_Mcfe</f>
        <v>0</v>
      </c>
      <c r="G49" s="19">
        <f>MIN(G48*(1-H49),EUR-SUM(G$26:G48))</f>
        <v>0</v>
      </c>
      <c r="H49" s="68">
        <f>MAX(Type_Curve!G49,Terminal_Decline)</f>
        <v>0.05</v>
      </c>
      <c r="I49" s="41"/>
      <c r="J49" s="40">
        <f>D49*Gas_Price/Units</f>
        <v>0</v>
      </c>
      <c r="K49" s="40">
        <f>E49*NGL_Price/Units</f>
        <v>0</v>
      </c>
      <c r="L49" s="40">
        <f>F49*Oil_Price/Units</f>
        <v>0</v>
      </c>
      <c r="M49" s="40">
        <f t="shared" si="2"/>
        <v>0</v>
      </c>
      <c r="O49" s="23">
        <f>IF(G49&lt;&gt;0,$N$7/(Units*Units),0)</f>
        <v>0</v>
      </c>
      <c r="P49" s="53">
        <f>G49*$N$8/Units</f>
        <v>0</v>
      </c>
      <c r="Q49" s="53">
        <f>G49*$N$9/Units</f>
        <v>0</v>
      </c>
      <c r="R49" s="53">
        <f t="shared" si="3"/>
        <v>0</v>
      </c>
      <c r="S49" s="23"/>
      <c r="T49" s="40">
        <f t="shared" si="4"/>
        <v>0</v>
      </c>
      <c r="U49" s="40">
        <f t="shared" si="5"/>
        <v>0</v>
      </c>
      <c r="V49" s="40">
        <f t="shared" si="6"/>
        <v>0</v>
      </c>
    </row>
    <row r="50" spans="2:22" outlineLevel="1" x14ac:dyDescent="0.45">
      <c r="B50" s="32"/>
      <c r="C50" s="20">
        <f t="shared" si="0"/>
        <v>25</v>
      </c>
      <c r="D50" s="19">
        <f>G50*Gas_Pct</f>
        <v>0</v>
      </c>
      <c r="E50" s="19">
        <f>G50*NGL_Pct/Bbl_to_Mcfe</f>
        <v>0</v>
      </c>
      <c r="F50" s="19">
        <f>G50*Oil_Pct/Bbl_to_Mcfe</f>
        <v>0</v>
      </c>
      <c r="G50" s="19">
        <f>MIN(G49*(1-H50),EUR-SUM(G$26:G49))</f>
        <v>0</v>
      </c>
      <c r="H50" s="68">
        <f>MAX(Type_Curve!G50,Terminal_Decline)</f>
        <v>0.05</v>
      </c>
      <c r="I50" s="41"/>
      <c r="J50" s="40">
        <f>D50*Gas_Price/Units</f>
        <v>0</v>
      </c>
      <c r="K50" s="40">
        <f>E50*NGL_Price/Units</f>
        <v>0</v>
      </c>
      <c r="L50" s="40">
        <f>F50*Oil_Price/Units</f>
        <v>0</v>
      </c>
      <c r="M50" s="40">
        <f t="shared" si="2"/>
        <v>0</v>
      </c>
      <c r="O50" s="23">
        <f>IF(G50&lt;&gt;0,$N$7/(Units*Units),0)</f>
        <v>0</v>
      </c>
      <c r="P50" s="53">
        <f>G50*$N$8/Units</f>
        <v>0</v>
      </c>
      <c r="Q50" s="53">
        <f>G50*$N$9/Units</f>
        <v>0</v>
      </c>
      <c r="R50" s="53">
        <f t="shared" si="3"/>
        <v>0</v>
      </c>
      <c r="S50" s="23"/>
      <c r="T50" s="40">
        <f t="shared" si="4"/>
        <v>0</v>
      </c>
      <c r="U50" s="40">
        <f t="shared" si="5"/>
        <v>0</v>
      </c>
      <c r="V50" s="40">
        <f t="shared" si="6"/>
        <v>0</v>
      </c>
    </row>
    <row r="51" spans="2:22" outlineLevel="1" x14ac:dyDescent="0.45">
      <c r="B51" s="32"/>
      <c r="C51" s="20">
        <f t="shared" si="0"/>
        <v>26</v>
      </c>
      <c r="D51" s="19">
        <f>G51*Gas_Pct</f>
        <v>0</v>
      </c>
      <c r="E51" s="19">
        <f>G51*NGL_Pct/Bbl_to_Mcfe</f>
        <v>0</v>
      </c>
      <c r="F51" s="19">
        <f>G51*Oil_Pct/Bbl_to_Mcfe</f>
        <v>0</v>
      </c>
      <c r="G51" s="19">
        <f>MIN(G50*(1-H51),EUR-SUM(G$26:G50))</f>
        <v>0</v>
      </c>
      <c r="H51" s="68">
        <f>MAX(Type_Curve!G51,Terminal_Decline)</f>
        <v>0.05</v>
      </c>
      <c r="I51" s="41"/>
      <c r="J51" s="40">
        <f>D51*Gas_Price/Units</f>
        <v>0</v>
      </c>
      <c r="K51" s="40">
        <f>E51*NGL_Price/Units</f>
        <v>0</v>
      </c>
      <c r="L51" s="40">
        <f>F51*Oil_Price/Units</f>
        <v>0</v>
      </c>
      <c r="M51" s="40">
        <f t="shared" si="2"/>
        <v>0</v>
      </c>
      <c r="O51" s="23">
        <f>IF(G51&lt;&gt;0,$N$7/(Units*Units),0)</f>
        <v>0</v>
      </c>
      <c r="P51" s="53">
        <f>G51*$N$8/Units</f>
        <v>0</v>
      </c>
      <c r="Q51" s="53">
        <f>G51*$N$9/Units</f>
        <v>0</v>
      </c>
      <c r="R51" s="53">
        <f t="shared" si="3"/>
        <v>0</v>
      </c>
      <c r="S51" s="23"/>
      <c r="T51" s="40">
        <f t="shared" si="4"/>
        <v>0</v>
      </c>
      <c r="U51" s="40">
        <f t="shared" si="5"/>
        <v>0</v>
      </c>
      <c r="V51" s="40">
        <f t="shared" si="6"/>
        <v>0</v>
      </c>
    </row>
    <row r="52" spans="2:22" outlineLevel="1" x14ac:dyDescent="0.45">
      <c r="B52" s="32"/>
      <c r="C52" s="20">
        <f t="shared" si="0"/>
        <v>27</v>
      </c>
      <c r="D52" s="19">
        <f>G52*Gas_Pct</f>
        <v>0</v>
      </c>
      <c r="E52" s="19">
        <f>G52*NGL_Pct/Bbl_to_Mcfe</f>
        <v>0</v>
      </c>
      <c r="F52" s="19">
        <f>G52*Oil_Pct/Bbl_to_Mcfe</f>
        <v>0</v>
      </c>
      <c r="G52" s="19">
        <f>MIN(G51*(1-H52),EUR-SUM(G$26:G51))</f>
        <v>0</v>
      </c>
      <c r="H52" s="68">
        <f>MAX(Type_Curve!G52,Terminal_Decline)</f>
        <v>0.05</v>
      </c>
      <c r="I52" s="41"/>
      <c r="J52" s="40">
        <f>D52*Gas_Price/Units</f>
        <v>0</v>
      </c>
      <c r="K52" s="40">
        <f>E52*NGL_Price/Units</f>
        <v>0</v>
      </c>
      <c r="L52" s="40">
        <f>F52*Oil_Price/Units</f>
        <v>0</v>
      </c>
      <c r="M52" s="40">
        <f t="shared" si="2"/>
        <v>0</v>
      </c>
      <c r="O52" s="23">
        <f>IF(G52&lt;&gt;0,$N$7/(Units*Units),0)</f>
        <v>0</v>
      </c>
      <c r="P52" s="53">
        <f>G52*$N$8/Units</f>
        <v>0</v>
      </c>
      <c r="Q52" s="53">
        <f>G52*$N$9/Units</f>
        <v>0</v>
      </c>
      <c r="R52" s="53">
        <f t="shared" si="3"/>
        <v>0</v>
      </c>
      <c r="S52" s="23"/>
      <c r="T52" s="40">
        <f t="shared" si="4"/>
        <v>0</v>
      </c>
      <c r="U52" s="40">
        <f t="shared" si="5"/>
        <v>0</v>
      </c>
      <c r="V52" s="40">
        <f t="shared" si="6"/>
        <v>0</v>
      </c>
    </row>
    <row r="53" spans="2:22" outlineLevel="1" x14ac:dyDescent="0.45">
      <c r="B53" s="32"/>
      <c r="C53" s="20">
        <f t="shared" si="0"/>
        <v>28</v>
      </c>
      <c r="D53" s="19">
        <f>G53*Gas_Pct</f>
        <v>0</v>
      </c>
      <c r="E53" s="19">
        <f>G53*NGL_Pct/Bbl_to_Mcfe</f>
        <v>0</v>
      </c>
      <c r="F53" s="19">
        <f>G53*Oil_Pct/Bbl_to_Mcfe</f>
        <v>0</v>
      </c>
      <c r="G53" s="19">
        <f>MIN(G52*(1-H53),EUR-SUM(G$26:G52))</f>
        <v>0</v>
      </c>
      <c r="H53" s="68">
        <f>MAX(Type_Curve!G53,Terminal_Decline)</f>
        <v>0.05</v>
      </c>
      <c r="I53" s="41"/>
      <c r="J53" s="40">
        <f>D53*Gas_Price/Units</f>
        <v>0</v>
      </c>
      <c r="K53" s="40">
        <f>E53*NGL_Price/Units</f>
        <v>0</v>
      </c>
      <c r="L53" s="40">
        <f>F53*Oil_Price/Units</f>
        <v>0</v>
      </c>
      <c r="M53" s="40">
        <f t="shared" si="2"/>
        <v>0</v>
      </c>
      <c r="O53" s="23">
        <f>IF(G53&lt;&gt;0,$N$7/(Units*Units),0)</f>
        <v>0</v>
      </c>
      <c r="P53" s="53">
        <f>G53*$N$8/Units</f>
        <v>0</v>
      </c>
      <c r="Q53" s="53">
        <f>G53*$N$9/Units</f>
        <v>0</v>
      </c>
      <c r="R53" s="53">
        <f t="shared" si="3"/>
        <v>0</v>
      </c>
      <c r="S53" s="23"/>
      <c r="T53" s="40">
        <f t="shared" si="4"/>
        <v>0</v>
      </c>
      <c r="U53" s="40">
        <f t="shared" si="5"/>
        <v>0</v>
      </c>
      <c r="V53" s="40">
        <f t="shared" si="6"/>
        <v>0</v>
      </c>
    </row>
    <row r="54" spans="2:22" outlineLevel="1" x14ac:dyDescent="0.45">
      <c r="B54" s="32"/>
      <c r="C54" s="20">
        <f t="shared" si="0"/>
        <v>29</v>
      </c>
      <c r="D54" s="19">
        <f>G54*Gas_Pct</f>
        <v>0</v>
      </c>
      <c r="E54" s="19">
        <f>G54*NGL_Pct/Bbl_to_Mcfe</f>
        <v>0</v>
      </c>
      <c r="F54" s="19">
        <f>G54*Oil_Pct/Bbl_to_Mcfe</f>
        <v>0</v>
      </c>
      <c r="G54" s="19">
        <f>MIN(G53*(1-H54),EUR-SUM(G$26:G53))</f>
        <v>0</v>
      </c>
      <c r="H54" s="68">
        <f>MAX(Type_Curve!G54,Terminal_Decline)</f>
        <v>0.05</v>
      </c>
      <c r="I54" s="41"/>
      <c r="J54" s="40">
        <f>D54*Gas_Price/Units</f>
        <v>0</v>
      </c>
      <c r="K54" s="40">
        <f>E54*NGL_Price/Units</f>
        <v>0</v>
      </c>
      <c r="L54" s="40">
        <f>F54*Oil_Price/Units</f>
        <v>0</v>
      </c>
      <c r="M54" s="40">
        <f t="shared" si="2"/>
        <v>0</v>
      </c>
      <c r="O54" s="23">
        <f>IF(G54&lt;&gt;0,$N$7/(Units*Units),0)</f>
        <v>0</v>
      </c>
      <c r="P54" s="53">
        <f>G54*$N$8/Units</f>
        <v>0</v>
      </c>
      <c r="Q54" s="53">
        <f>G54*$N$9/Units</f>
        <v>0</v>
      </c>
      <c r="R54" s="53">
        <f t="shared" si="3"/>
        <v>0</v>
      </c>
      <c r="S54" s="23"/>
      <c r="T54" s="40">
        <f t="shared" si="4"/>
        <v>0</v>
      </c>
      <c r="U54" s="40">
        <f t="shared" si="5"/>
        <v>0</v>
      </c>
      <c r="V54" s="40">
        <f t="shared" si="6"/>
        <v>0</v>
      </c>
    </row>
    <row r="55" spans="2:22" outlineLevel="1" x14ac:dyDescent="0.45">
      <c r="B55" s="32"/>
      <c r="C55" s="20">
        <f t="shared" si="0"/>
        <v>30</v>
      </c>
      <c r="D55" s="19">
        <f>G55*Gas_Pct</f>
        <v>0</v>
      </c>
      <c r="E55" s="19">
        <f>G55*NGL_Pct/Bbl_to_Mcfe</f>
        <v>0</v>
      </c>
      <c r="F55" s="19">
        <f>G55*Oil_Pct/Bbl_to_Mcfe</f>
        <v>0</v>
      </c>
      <c r="G55" s="19">
        <f>MIN(G54*(1-H55),EUR-SUM(G$26:G54))</f>
        <v>0</v>
      </c>
      <c r="H55" s="68">
        <f>MAX(Type_Curve!G55,Terminal_Decline)</f>
        <v>0.05</v>
      </c>
      <c r="I55" s="41"/>
      <c r="J55" s="40">
        <f>D55*Gas_Price/Units</f>
        <v>0</v>
      </c>
      <c r="K55" s="40">
        <f>E55*NGL_Price/Units</f>
        <v>0</v>
      </c>
      <c r="L55" s="40">
        <f>F55*Oil_Price/Units</f>
        <v>0</v>
      </c>
      <c r="M55" s="40">
        <f t="shared" si="2"/>
        <v>0</v>
      </c>
      <c r="O55" s="23">
        <f>IF(G55&lt;&gt;0,$N$7/(Units*Units),0)</f>
        <v>0</v>
      </c>
      <c r="P55" s="53">
        <f>G55*$N$8/Units</f>
        <v>0</v>
      </c>
      <c r="Q55" s="53">
        <f>G55*$N$9/Units</f>
        <v>0</v>
      </c>
      <c r="R55" s="53">
        <f t="shared" si="3"/>
        <v>0</v>
      </c>
      <c r="S55" s="23"/>
      <c r="T55" s="40">
        <f t="shared" si="4"/>
        <v>0</v>
      </c>
      <c r="U55" s="40">
        <f t="shared" si="5"/>
        <v>0</v>
      </c>
      <c r="V55" s="40">
        <f t="shared" si="6"/>
        <v>0</v>
      </c>
    </row>
    <row r="56" spans="2:22" outlineLevel="1" x14ac:dyDescent="0.45">
      <c r="B56" s="32"/>
      <c r="C56" s="20">
        <f t="shared" si="0"/>
        <v>31</v>
      </c>
      <c r="D56" s="19">
        <f>G56*Gas_Pct</f>
        <v>0</v>
      </c>
      <c r="E56" s="19">
        <f>G56*NGL_Pct/Bbl_to_Mcfe</f>
        <v>0</v>
      </c>
      <c r="F56" s="19">
        <f>G56*Oil_Pct/Bbl_to_Mcfe</f>
        <v>0</v>
      </c>
      <c r="G56" s="19">
        <f>MIN(G55*(1-H56),EUR-SUM(G$26:G55))</f>
        <v>0</v>
      </c>
      <c r="H56" s="68">
        <f>MAX(Type_Curve!G56,Terminal_Decline)</f>
        <v>0.05</v>
      </c>
      <c r="I56" s="41"/>
      <c r="J56" s="40">
        <f>D56*Gas_Price/Units</f>
        <v>0</v>
      </c>
      <c r="K56" s="40">
        <f>E56*NGL_Price/Units</f>
        <v>0</v>
      </c>
      <c r="L56" s="40">
        <f>F56*Oil_Price/Units</f>
        <v>0</v>
      </c>
      <c r="M56" s="40">
        <f t="shared" si="2"/>
        <v>0</v>
      </c>
      <c r="O56" s="23">
        <f>IF(G56&lt;&gt;0,$N$7/(Units*Units),0)</f>
        <v>0</v>
      </c>
      <c r="P56" s="53">
        <f>G56*$N$8/Units</f>
        <v>0</v>
      </c>
      <c r="Q56" s="53">
        <f>G56*$N$9/Units</f>
        <v>0</v>
      </c>
      <c r="R56" s="53">
        <f t="shared" si="3"/>
        <v>0</v>
      </c>
      <c r="S56" s="23"/>
      <c r="T56" s="40">
        <f t="shared" si="4"/>
        <v>0</v>
      </c>
      <c r="U56" s="40">
        <f t="shared" si="5"/>
        <v>0</v>
      </c>
      <c r="V56" s="40">
        <f t="shared" si="6"/>
        <v>0</v>
      </c>
    </row>
    <row r="57" spans="2:22" outlineLevel="1" x14ac:dyDescent="0.45">
      <c r="B57" s="32"/>
      <c r="C57" s="20">
        <f t="shared" si="0"/>
        <v>32</v>
      </c>
      <c r="D57" s="19">
        <f>G57*Gas_Pct</f>
        <v>0</v>
      </c>
      <c r="E57" s="19">
        <f>G57*NGL_Pct/Bbl_to_Mcfe</f>
        <v>0</v>
      </c>
      <c r="F57" s="19">
        <f>G57*Oil_Pct/Bbl_to_Mcfe</f>
        <v>0</v>
      </c>
      <c r="G57" s="19">
        <f>MIN(G56*(1-H57),EUR-SUM(G$26:G56))</f>
        <v>0</v>
      </c>
      <c r="H57" s="68">
        <f>MAX(Type_Curve!G57,Terminal_Decline)</f>
        <v>0.05</v>
      </c>
      <c r="I57" s="41"/>
      <c r="J57" s="40">
        <f>D57*Gas_Price/Units</f>
        <v>0</v>
      </c>
      <c r="K57" s="40">
        <f>E57*NGL_Price/Units</f>
        <v>0</v>
      </c>
      <c r="L57" s="40">
        <f>F57*Oil_Price/Units</f>
        <v>0</v>
      </c>
      <c r="M57" s="40">
        <f t="shared" si="2"/>
        <v>0</v>
      </c>
      <c r="O57" s="23">
        <f>IF(G57&lt;&gt;0,$N$7/(Units*Units),0)</f>
        <v>0</v>
      </c>
      <c r="P57" s="53">
        <f>G57*$N$8/Units</f>
        <v>0</v>
      </c>
      <c r="Q57" s="53">
        <f>G57*$N$9/Units</f>
        <v>0</v>
      </c>
      <c r="R57" s="53">
        <f t="shared" si="3"/>
        <v>0</v>
      </c>
      <c r="S57" s="23"/>
      <c r="T57" s="40">
        <f t="shared" si="4"/>
        <v>0</v>
      </c>
      <c r="U57" s="40">
        <f t="shared" si="5"/>
        <v>0</v>
      </c>
      <c r="V57" s="40">
        <f t="shared" si="6"/>
        <v>0</v>
      </c>
    </row>
    <row r="58" spans="2:22" outlineLevel="1" x14ac:dyDescent="0.45">
      <c r="B58" s="32"/>
      <c r="C58" s="20">
        <f t="shared" si="0"/>
        <v>33</v>
      </c>
      <c r="D58" s="19">
        <f>G58*Gas_Pct</f>
        <v>0</v>
      </c>
      <c r="E58" s="19">
        <f>G58*NGL_Pct/Bbl_to_Mcfe</f>
        <v>0</v>
      </c>
      <c r="F58" s="19">
        <f>G58*Oil_Pct/Bbl_to_Mcfe</f>
        <v>0</v>
      </c>
      <c r="G58" s="19">
        <f>MIN(G57*(1-H58),EUR-SUM(G$26:G57))</f>
        <v>0</v>
      </c>
      <c r="H58" s="68">
        <f>MAX(Type_Curve!G58,Terminal_Decline)</f>
        <v>0.05</v>
      </c>
      <c r="I58" s="41"/>
      <c r="J58" s="40">
        <f>D58*Gas_Price/Units</f>
        <v>0</v>
      </c>
      <c r="K58" s="40">
        <f>E58*NGL_Price/Units</f>
        <v>0</v>
      </c>
      <c r="L58" s="40">
        <f>F58*Oil_Price/Units</f>
        <v>0</v>
      </c>
      <c r="M58" s="40">
        <f t="shared" si="2"/>
        <v>0</v>
      </c>
      <c r="O58" s="23">
        <f>IF(G58&lt;&gt;0,$N$7/(Units*Units),0)</f>
        <v>0</v>
      </c>
      <c r="P58" s="53">
        <f>G58*$N$8/Units</f>
        <v>0</v>
      </c>
      <c r="Q58" s="53">
        <f>G58*$N$9/Units</f>
        <v>0</v>
      </c>
      <c r="R58" s="53">
        <f t="shared" si="3"/>
        <v>0</v>
      </c>
      <c r="S58" s="23"/>
      <c r="T58" s="40">
        <f t="shared" si="4"/>
        <v>0</v>
      </c>
      <c r="U58" s="40">
        <f t="shared" si="5"/>
        <v>0</v>
      </c>
      <c r="V58" s="40">
        <f t="shared" si="6"/>
        <v>0</v>
      </c>
    </row>
    <row r="59" spans="2:22" outlineLevel="1" x14ac:dyDescent="0.45">
      <c r="B59" s="32"/>
      <c r="C59" s="20">
        <f t="shared" si="0"/>
        <v>34</v>
      </c>
      <c r="D59" s="19">
        <f>G59*Gas_Pct</f>
        <v>0</v>
      </c>
      <c r="E59" s="19">
        <f>G59*NGL_Pct/Bbl_to_Mcfe</f>
        <v>0</v>
      </c>
      <c r="F59" s="19">
        <f>G59*Oil_Pct/Bbl_to_Mcfe</f>
        <v>0</v>
      </c>
      <c r="G59" s="19">
        <f>MIN(G58*(1-H59),EUR-SUM(G$26:G58))</f>
        <v>0</v>
      </c>
      <c r="H59" s="68">
        <f>MAX(Type_Curve!G59,Terminal_Decline)</f>
        <v>0.05</v>
      </c>
      <c r="I59" s="19"/>
      <c r="J59" s="40">
        <f>D59*Gas_Price/Units</f>
        <v>0</v>
      </c>
      <c r="K59" s="40">
        <f>E59*NGL_Price/Units</f>
        <v>0</v>
      </c>
      <c r="L59" s="40">
        <f>F59*Oil_Price/Units</f>
        <v>0</v>
      </c>
      <c r="M59" s="40">
        <f t="shared" si="2"/>
        <v>0</v>
      </c>
      <c r="O59" s="23">
        <f>IF(G59&lt;&gt;0,$N$7/(Units*Units),0)</f>
        <v>0</v>
      </c>
      <c r="P59" s="53">
        <f>G59*$N$8/Units</f>
        <v>0</v>
      </c>
      <c r="Q59" s="53">
        <f>G59*$N$9/Units</f>
        <v>0</v>
      </c>
      <c r="R59" s="53">
        <f t="shared" si="3"/>
        <v>0</v>
      </c>
      <c r="S59" s="23"/>
      <c r="T59" s="40">
        <f t="shared" si="4"/>
        <v>0</v>
      </c>
      <c r="U59" s="40">
        <f t="shared" si="5"/>
        <v>0</v>
      </c>
      <c r="V59" s="40">
        <f t="shared" si="6"/>
        <v>0</v>
      </c>
    </row>
    <row r="60" spans="2:22" outlineLevel="1" x14ac:dyDescent="0.45">
      <c r="B60" s="32"/>
      <c r="C60" s="20">
        <f t="shared" si="0"/>
        <v>35</v>
      </c>
      <c r="D60" s="19">
        <f>G60*Gas_Pct</f>
        <v>0</v>
      </c>
      <c r="E60" s="19">
        <f>G60*NGL_Pct/Bbl_to_Mcfe</f>
        <v>0</v>
      </c>
      <c r="F60" s="19">
        <f>G60*Oil_Pct/Bbl_to_Mcfe</f>
        <v>0</v>
      </c>
      <c r="G60" s="19">
        <f>MIN(G59*(1-H60),EUR-SUM(G$26:G59))</f>
        <v>0</v>
      </c>
      <c r="H60" s="68">
        <f>MAX(Type_Curve!G60,Terminal_Decline)</f>
        <v>0.05</v>
      </c>
      <c r="I60" s="19"/>
      <c r="J60" s="40">
        <f>D60*Gas_Price/Units</f>
        <v>0</v>
      </c>
      <c r="K60" s="40">
        <f>E60*NGL_Price/Units</f>
        <v>0</v>
      </c>
      <c r="L60" s="40">
        <f>F60*Oil_Price/Units</f>
        <v>0</v>
      </c>
      <c r="M60" s="40">
        <f t="shared" si="2"/>
        <v>0</v>
      </c>
      <c r="O60" s="23">
        <f>IF(G60&lt;&gt;0,$N$7/(Units*Units),0)</f>
        <v>0</v>
      </c>
      <c r="P60" s="53">
        <f>G60*$N$8/Units</f>
        <v>0</v>
      </c>
      <c r="Q60" s="53">
        <f>G60*$N$9/Units</f>
        <v>0</v>
      </c>
      <c r="R60" s="53">
        <f t="shared" si="3"/>
        <v>0</v>
      </c>
      <c r="S60" s="23"/>
      <c r="T60" s="40">
        <f t="shared" si="4"/>
        <v>0</v>
      </c>
      <c r="U60" s="40">
        <f t="shared" si="5"/>
        <v>0</v>
      </c>
      <c r="V60" s="40">
        <f t="shared" si="6"/>
        <v>0</v>
      </c>
    </row>
    <row r="61" spans="2:22" outlineLevel="1" x14ac:dyDescent="0.45">
      <c r="B61" s="32"/>
      <c r="C61" s="20">
        <f t="shared" si="0"/>
        <v>36</v>
      </c>
      <c r="D61" s="19">
        <f>G61*Gas_Pct</f>
        <v>0</v>
      </c>
      <c r="E61" s="19">
        <f>G61*NGL_Pct/Bbl_to_Mcfe</f>
        <v>0</v>
      </c>
      <c r="F61" s="19">
        <f>G61*Oil_Pct/Bbl_to_Mcfe</f>
        <v>0</v>
      </c>
      <c r="G61" s="19">
        <f>MIN(G60*(1-H61),EUR-SUM(G$26:G60))</f>
        <v>0</v>
      </c>
      <c r="H61" s="68">
        <f>MAX(Type_Curve!G61,Terminal_Decline)</f>
        <v>0.05</v>
      </c>
      <c r="I61" s="19"/>
      <c r="J61" s="40">
        <f>D61*Gas_Price/Units</f>
        <v>0</v>
      </c>
      <c r="K61" s="40">
        <f>E61*NGL_Price/Units</f>
        <v>0</v>
      </c>
      <c r="L61" s="40">
        <f>F61*Oil_Price/Units</f>
        <v>0</v>
      </c>
      <c r="M61" s="40">
        <f t="shared" si="2"/>
        <v>0</v>
      </c>
      <c r="O61" s="23">
        <f>IF(G61&lt;&gt;0,$N$7/(Units*Units),0)</f>
        <v>0</v>
      </c>
      <c r="P61" s="53">
        <f>G61*$N$8/Units</f>
        <v>0</v>
      </c>
      <c r="Q61" s="53">
        <f>G61*$N$9/Units</f>
        <v>0</v>
      </c>
      <c r="R61" s="53">
        <f t="shared" si="3"/>
        <v>0</v>
      </c>
      <c r="S61" s="23"/>
      <c r="T61" s="40">
        <f t="shared" si="4"/>
        <v>0</v>
      </c>
      <c r="U61" s="40">
        <f t="shared" si="5"/>
        <v>0</v>
      </c>
      <c r="V61" s="40">
        <f t="shared" si="6"/>
        <v>0</v>
      </c>
    </row>
    <row r="62" spans="2:22" outlineLevel="1" x14ac:dyDescent="0.45">
      <c r="B62" s="32"/>
      <c r="C62" s="20">
        <f t="shared" si="0"/>
        <v>37</v>
      </c>
      <c r="D62" s="19">
        <f>G62*Gas_Pct</f>
        <v>0</v>
      </c>
      <c r="E62" s="19">
        <f>G62*NGL_Pct/Bbl_to_Mcfe</f>
        <v>0</v>
      </c>
      <c r="F62" s="19">
        <f>G62*Oil_Pct/Bbl_to_Mcfe</f>
        <v>0</v>
      </c>
      <c r="G62" s="19">
        <f>MIN(G61*(1-H62),EUR-SUM(G$26:G61))</f>
        <v>0</v>
      </c>
      <c r="H62" s="68">
        <f>MAX(Type_Curve!G62,Terminal_Decline)</f>
        <v>0.05</v>
      </c>
      <c r="I62" s="19"/>
      <c r="J62" s="40">
        <f>D62*Gas_Price/Units</f>
        <v>0</v>
      </c>
      <c r="K62" s="40">
        <f>E62*NGL_Price/Units</f>
        <v>0</v>
      </c>
      <c r="L62" s="40">
        <f>F62*Oil_Price/Units</f>
        <v>0</v>
      </c>
      <c r="M62" s="40">
        <f t="shared" si="2"/>
        <v>0</v>
      </c>
      <c r="O62" s="23">
        <f>IF(G62&lt;&gt;0,$N$7/(Units*Units),0)</f>
        <v>0</v>
      </c>
      <c r="P62" s="53">
        <f>G62*$N$8/Units</f>
        <v>0</v>
      </c>
      <c r="Q62" s="53">
        <f>G62*$N$9/Units</f>
        <v>0</v>
      </c>
      <c r="R62" s="53">
        <f t="shared" si="3"/>
        <v>0</v>
      </c>
      <c r="S62" s="23"/>
      <c r="T62" s="40">
        <f t="shared" si="4"/>
        <v>0</v>
      </c>
      <c r="U62" s="40">
        <f t="shared" si="5"/>
        <v>0</v>
      </c>
      <c r="V62" s="40">
        <f t="shared" si="6"/>
        <v>0</v>
      </c>
    </row>
    <row r="63" spans="2:22" outlineLevel="1" x14ac:dyDescent="0.45">
      <c r="B63" s="32"/>
      <c r="C63" s="18">
        <f t="shared" si="0"/>
        <v>38</v>
      </c>
      <c r="D63" s="19">
        <f>G63*Gas_Pct</f>
        <v>0</v>
      </c>
      <c r="E63" s="19">
        <f>G63*NGL_Pct/Bbl_to_Mcfe</f>
        <v>0</v>
      </c>
      <c r="F63" s="19">
        <f>G63*Oil_Pct/Bbl_to_Mcfe</f>
        <v>0</v>
      </c>
      <c r="G63" s="19">
        <f>MIN(G62*(1-H63),EUR-SUM(G$26:G62))</f>
        <v>0</v>
      </c>
      <c r="H63" s="68">
        <f>MAX(Type_Curve!G63,Terminal_Decline)</f>
        <v>0.05</v>
      </c>
      <c r="I63" s="19"/>
      <c r="J63" s="40">
        <f>D63*Gas_Price/Units</f>
        <v>0</v>
      </c>
      <c r="K63" s="40">
        <f>E63*NGL_Price/Units</f>
        <v>0</v>
      </c>
      <c r="L63" s="40">
        <f>F63*Oil_Price/Units</f>
        <v>0</v>
      </c>
      <c r="M63" s="40">
        <f t="shared" si="2"/>
        <v>0</v>
      </c>
      <c r="O63" s="23">
        <f>IF(G63&lt;&gt;0,$N$7/(Units*Units),0)</f>
        <v>0</v>
      </c>
      <c r="P63" s="53">
        <f>G63*$N$8/Units</f>
        <v>0</v>
      </c>
      <c r="Q63" s="53">
        <f>G63*$N$9/Units</f>
        <v>0</v>
      </c>
      <c r="R63" s="53">
        <f t="shared" si="3"/>
        <v>0</v>
      </c>
      <c r="S63" s="23"/>
      <c r="T63" s="40">
        <f t="shared" si="4"/>
        <v>0</v>
      </c>
      <c r="U63" s="40">
        <f t="shared" si="5"/>
        <v>0</v>
      </c>
      <c r="V63" s="40">
        <f t="shared" si="6"/>
        <v>0</v>
      </c>
    </row>
    <row r="64" spans="2:22" outlineLevel="1" x14ac:dyDescent="0.45">
      <c r="B64" s="32"/>
      <c r="C64" s="18">
        <f t="shared" si="0"/>
        <v>39</v>
      </c>
      <c r="D64" s="19">
        <f>G64*Gas_Pct</f>
        <v>0</v>
      </c>
      <c r="E64" s="19">
        <f>G64*NGL_Pct/Bbl_to_Mcfe</f>
        <v>0</v>
      </c>
      <c r="F64" s="19">
        <f>G64*Oil_Pct/Bbl_to_Mcfe</f>
        <v>0</v>
      </c>
      <c r="G64" s="19">
        <f>MIN(G63*(1-H64),EUR-SUM(G$26:G63))</f>
        <v>0</v>
      </c>
      <c r="H64" s="68">
        <f>MAX(Type_Curve!G64,Terminal_Decline)</f>
        <v>0.05</v>
      </c>
      <c r="I64" s="19"/>
      <c r="J64" s="40">
        <f>D64*Gas_Price/Units</f>
        <v>0</v>
      </c>
      <c r="K64" s="40">
        <f>E64*NGL_Price/Units</f>
        <v>0</v>
      </c>
      <c r="L64" s="40">
        <f>F64*Oil_Price/Units</f>
        <v>0</v>
      </c>
      <c r="M64" s="40">
        <f t="shared" si="2"/>
        <v>0</v>
      </c>
      <c r="O64" s="23">
        <f>IF(G64&lt;&gt;0,$N$7/(Units*Units),0)</f>
        <v>0</v>
      </c>
      <c r="P64" s="53">
        <f>G64*$N$8/Units</f>
        <v>0</v>
      </c>
      <c r="Q64" s="53">
        <f>G64*$N$9/Units</f>
        <v>0</v>
      </c>
      <c r="R64" s="53">
        <f t="shared" si="3"/>
        <v>0</v>
      </c>
      <c r="S64" s="23"/>
      <c r="T64" s="40">
        <f t="shared" si="4"/>
        <v>0</v>
      </c>
      <c r="U64" s="40">
        <f t="shared" si="5"/>
        <v>0</v>
      </c>
      <c r="V64" s="40">
        <f t="shared" si="6"/>
        <v>0</v>
      </c>
    </row>
    <row r="65" spans="3:23" outlineLevel="1" x14ac:dyDescent="0.45">
      <c r="C65" s="18">
        <f t="shared" si="0"/>
        <v>40</v>
      </c>
      <c r="D65" s="19">
        <f>G65*Gas_Pct</f>
        <v>0</v>
      </c>
      <c r="E65" s="19">
        <f>G65*NGL_Pct/Bbl_to_Mcfe</f>
        <v>0</v>
      </c>
      <c r="F65" s="19">
        <f>G65*Oil_Pct/Bbl_to_Mcfe</f>
        <v>0</v>
      </c>
      <c r="G65" s="19">
        <f>MIN(G64*(1-H65),EUR-SUM(G$26:G64))</f>
        <v>0</v>
      </c>
      <c r="H65" s="68">
        <f>MAX(Type_Curve!G65,Terminal_Decline)</f>
        <v>0.05</v>
      </c>
      <c r="I65" s="19"/>
      <c r="J65" s="40">
        <f>D65*Gas_Price/Units</f>
        <v>0</v>
      </c>
      <c r="K65" s="40">
        <f>E65*NGL_Price/Units</f>
        <v>0</v>
      </c>
      <c r="L65" s="40">
        <f>F65*Oil_Price/Units</f>
        <v>0</v>
      </c>
      <c r="M65" s="40">
        <f t="shared" si="2"/>
        <v>0</v>
      </c>
      <c r="O65" s="23">
        <f>IF(G65&lt;&gt;0,$N$7/(Units*Units),0)</f>
        <v>0</v>
      </c>
      <c r="P65" s="53">
        <f>G65*$N$8/Units</f>
        <v>0</v>
      </c>
      <c r="Q65" s="53">
        <f>G65*$N$9/Units</f>
        <v>0</v>
      </c>
      <c r="R65" s="53">
        <f t="shared" si="3"/>
        <v>0</v>
      </c>
      <c r="T65" s="43">
        <f t="shared" si="4"/>
        <v>0</v>
      </c>
      <c r="U65" s="43">
        <f t="shared" si="5"/>
        <v>0</v>
      </c>
      <c r="V65" s="43">
        <f t="shared" si="6"/>
        <v>0</v>
      </c>
    </row>
    <row r="66" spans="3:23" outlineLevel="1" x14ac:dyDescent="0.45">
      <c r="C66" s="8" t="s">
        <v>3</v>
      </c>
      <c r="D66" s="27">
        <f>SUM(D26:D65)</f>
        <v>14250</v>
      </c>
      <c r="E66" s="27">
        <f t="shared" ref="E66:F66" si="7">SUM(E26:E65)</f>
        <v>0</v>
      </c>
      <c r="F66" s="27">
        <f t="shared" si="7"/>
        <v>0</v>
      </c>
      <c r="G66" s="27">
        <f>SUM(G26:G65)</f>
        <v>14250</v>
      </c>
      <c r="H66" s="68"/>
      <c r="I66" s="21"/>
      <c r="J66" s="52">
        <f>SUM(J26:J65)</f>
        <v>42.75</v>
      </c>
      <c r="K66" s="52">
        <f t="shared" ref="K66:M66" si="8">SUM(K26:K65)</f>
        <v>0</v>
      </c>
      <c r="L66" s="52">
        <f t="shared" si="8"/>
        <v>0</v>
      </c>
      <c r="M66" s="52">
        <f t="shared" si="8"/>
        <v>42.75</v>
      </c>
      <c r="N66" s="21"/>
      <c r="O66" s="51">
        <f>SUM(O26:O65)</f>
        <v>0.36128399999999999</v>
      </c>
      <c r="P66" s="51">
        <f t="shared" ref="P66:R66" si="9">SUM(P26:P65)</f>
        <v>0.28500000000000003</v>
      </c>
      <c r="Q66" s="51">
        <f t="shared" si="9"/>
        <v>5.5575000000000001</v>
      </c>
      <c r="R66" s="51">
        <f t="shared" si="9"/>
        <v>6.2037839999999997</v>
      </c>
      <c r="S66" s="23"/>
      <c r="T66" s="54">
        <f>SUM(T25:T65)</f>
        <v>36.546216000000001</v>
      </c>
      <c r="U66" s="54">
        <f t="shared" ref="U66:V66" si="10">SUM(U25:U65)</f>
        <v>-4.7</v>
      </c>
      <c r="V66" s="54">
        <f t="shared" si="10"/>
        <v>31.846216000000005</v>
      </c>
    </row>
    <row r="67" spans="3:23" x14ac:dyDescent="0.45">
      <c r="O67" s="21"/>
      <c r="P67" s="21"/>
      <c r="Q67" s="21"/>
      <c r="R67" s="21"/>
      <c r="S67" s="21"/>
      <c r="T67" s="21"/>
      <c r="U67" s="21"/>
      <c r="V67" s="21"/>
      <c r="W67" s="21"/>
    </row>
    <row r="68" spans="3:23" x14ac:dyDescent="0.45">
      <c r="H68" s="19"/>
    </row>
    <row r="69" spans="3:23" x14ac:dyDescent="0.45">
      <c r="H69" s="19"/>
    </row>
    <row r="70" spans="3:23" x14ac:dyDescent="0.45">
      <c r="H70" s="19"/>
    </row>
    <row r="71" spans="3:23" x14ac:dyDescent="0.45">
      <c r="H71" s="19"/>
    </row>
    <row r="72" spans="3:23" x14ac:dyDescent="0.45">
      <c r="H72" s="19"/>
    </row>
    <row r="73" spans="3:23" x14ac:dyDescent="0.45">
      <c r="H73" s="19"/>
    </row>
    <row r="74" spans="3:23" x14ac:dyDescent="0.45">
      <c r="H74" s="19"/>
    </row>
    <row r="75" spans="3:23" x14ac:dyDescent="0.45">
      <c r="H75" s="19"/>
    </row>
    <row r="76" spans="3:23" x14ac:dyDescent="0.45">
      <c r="H76" s="19"/>
    </row>
    <row r="77" spans="3:23" x14ac:dyDescent="0.45">
      <c r="H77" s="19"/>
    </row>
    <row r="78" spans="3:23" x14ac:dyDescent="0.45">
      <c r="H78" s="19"/>
    </row>
    <row r="79" spans="3:23" x14ac:dyDescent="0.45">
      <c r="H79" s="19"/>
    </row>
    <row r="80" spans="3:23" x14ac:dyDescent="0.45">
      <c r="H80" s="19"/>
    </row>
    <row r="81" spans="8:8" x14ac:dyDescent="0.45">
      <c r="H81" s="19"/>
    </row>
    <row r="82" spans="8:8" x14ac:dyDescent="0.45">
      <c r="H82" s="19"/>
    </row>
    <row r="83" spans="8:8" x14ac:dyDescent="0.45">
      <c r="H83" s="19"/>
    </row>
    <row r="84" spans="8:8" x14ac:dyDescent="0.45">
      <c r="H84" s="19"/>
    </row>
    <row r="85" spans="8:8" x14ac:dyDescent="0.45">
      <c r="H85" s="19"/>
    </row>
    <row r="86" spans="8:8" x14ac:dyDescent="0.45">
      <c r="H86" s="19"/>
    </row>
    <row r="87" spans="8:8" x14ac:dyDescent="0.45">
      <c r="H87" s="19"/>
    </row>
  </sheetData>
  <pageMargins left="0.7" right="0.7" top="0.75" bottom="0.75" header="0.3" footer="0.3"/>
  <pageSetup scale="31" orientation="portrait" r:id="rId1"/>
  <colBreaks count="1" manualBreakCount="1">
    <brk id="14" max="66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28AE3-B144-4CF0-84BB-7B083F089592}">
  <sheetPr>
    <pageSetUpPr autoPageBreaks="0"/>
  </sheetPr>
  <dimension ref="B2:R87"/>
  <sheetViews>
    <sheetView showGridLines="0" zoomScaleNormal="100" workbookViewId="0">
      <selection activeCell="B2" sqref="B2"/>
    </sheetView>
  </sheetViews>
  <sheetFormatPr defaultColWidth="9.15234375" defaultRowHeight="15.9" outlineLevelRow="1" x14ac:dyDescent="0.45"/>
  <cols>
    <col min="1" max="2" width="2.69140625" style="15" customWidth="1"/>
    <col min="3" max="18" width="12.69140625" style="15" customWidth="1"/>
    <col min="19" max="16384" width="9.15234375" style="15"/>
  </cols>
  <sheetData>
    <row r="2" spans="2:18" ht="18.45" x14ac:dyDescent="0.5">
      <c r="B2" s="13" t="s">
        <v>52</v>
      </c>
    </row>
    <row r="3" spans="2:18" x14ac:dyDescent="0.45">
      <c r="B3" s="15" t="s">
        <v>32</v>
      </c>
    </row>
    <row r="5" spans="2:18" x14ac:dyDescent="0.45">
      <c r="B5" s="2" t="s">
        <v>53</v>
      </c>
      <c r="C5" s="3"/>
      <c r="D5" s="9"/>
      <c r="E5" s="4"/>
      <c r="F5" s="3"/>
      <c r="G5" s="25" t="s">
        <v>2</v>
      </c>
      <c r="H5" s="3"/>
      <c r="I5" s="3"/>
      <c r="J5" s="4"/>
      <c r="K5" s="3"/>
      <c r="L5" s="9"/>
      <c r="M5" s="25"/>
      <c r="N5" s="3"/>
      <c r="O5" s="3"/>
      <c r="P5" s="3"/>
      <c r="Q5" s="3"/>
      <c r="R5" s="10"/>
    </row>
    <row r="6" spans="2:18" outlineLevel="1" x14ac:dyDescent="0.45">
      <c r="C6" s="1"/>
      <c r="O6" s="1"/>
    </row>
    <row r="7" spans="2:18" ht="17.600000000000001" outlineLevel="1" x14ac:dyDescent="0.55000000000000004">
      <c r="C7" s="16" t="s">
        <v>70</v>
      </c>
      <c r="G7" s="11" t="s">
        <v>17</v>
      </c>
      <c r="H7" s="61">
        <v>10</v>
      </c>
      <c r="J7" s="15" t="s">
        <v>68</v>
      </c>
      <c r="P7" s="16"/>
      <c r="R7" s="63"/>
    </row>
    <row r="8" spans="2:18" outlineLevel="1" x14ac:dyDescent="0.45">
      <c r="C8" s="16" t="s">
        <v>71</v>
      </c>
      <c r="G8" s="11" t="s">
        <v>1</v>
      </c>
      <c r="H8" s="76">
        <v>0.6</v>
      </c>
      <c r="M8" s="11"/>
      <c r="N8" s="57"/>
      <c r="P8" s="16"/>
      <c r="R8" s="18"/>
    </row>
    <row r="9" spans="2:18" outlineLevel="1" x14ac:dyDescent="0.45">
      <c r="C9" s="16"/>
      <c r="J9" s="15" t="s">
        <v>76</v>
      </c>
      <c r="M9" s="11"/>
      <c r="N9" s="58"/>
      <c r="P9" s="16"/>
    </row>
    <row r="10" spans="2:18" ht="17.600000000000001" outlineLevel="1" x14ac:dyDescent="0.55000000000000004">
      <c r="C10" s="16" t="s">
        <v>49</v>
      </c>
      <c r="G10" s="11" t="s">
        <v>4</v>
      </c>
      <c r="H10" s="61">
        <v>1.2</v>
      </c>
      <c r="J10" s="15" t="s">
        <v>77</v>
      </c>
      <c r="M10" s="11"/>
      <c r="N10" s="58"/>
      <c r="P10" s="16"/>
    </row>
    <row r="11" spans="2:18" ht="17.600000000000001" outlineLevel="1" x14ac:dyDescent="0.55000000000000004">
      <c r="C11" s="16" t="s">
        <v>72</v>
      </c>
      <c r="G11" s="11" t="s">
        <v>4</v>
      </c>
      <c r="H11" s="49">
        <f>-LN(1-H8)</f>
        <v>0.916290731874155</v>
      </c>
      <c r="P11" s="16"/>
    </row>
    <row r="12" spans="2:18" outlineLevel="1" x14ac:dyDescent="0.45">
      <c r="J12" s="15" t="s">
        <v>69</v>
      </c>
      <c r="M12" s="11"/>
      <c r="N12" s="59"/>
      <c r="P12" s="16"/>
    </row>
    <row r="13" spans="2:18" outlineLevel="1" x14ac:dyDescent="0.45">
      <c r="M13" s="11"/>
      <c r="N13" s="59"/>
      <c r="P13" s="16"/>
    </row>
    <row r="14" spans="2:18" ht="17.600000000000001" outlineLevel="1" x14ac:dyDescent="0.55000000000000004">
      <c r="J14" s="15" t="s">
        <v>73</v>
      </c>
      <c r="M14" s="11"/>
      <c r="N14" s="59"/>
      <c r="P14" s="16"/>
    </row>
    <row r="15" spans="2:18" outlineLevel="1" x14ac:dyDescent="0.45">
      <c r="J15" s="15" t="s">
        <v>75</v>
      </c>
      <c r="M15" s="11"/>
      <c r="N15" s="59"/>
      <c r="P15" s="16"/>
    </row>
    <row r="16" spans="2:18" outlineLevel="1" x14ac:dyDescent="0.45">
      <c r="M16" s="11"/>
      <c r="N16" s="59"/>
      <c r="P16" s="16"/>
    </row>
    <row r="17" spans="2:18" outlineLevel="1" x14ac:dyDescent="0.45">
      <c r="J17" s="15" t="s">
        <v>50</v>
      </c>
      <c r="M17" s="11"/>
      <c r="N17" s="59"/>
      <c r="P17" s="16"/>
    </row>
    <row r="18" spans="2:18" outlineLevel="1" x14ac:dyDescent="0.45">
      <c r="C18" s="16"/>
      <c r="G18" s="11"/>
      <c r="H18" s="60"/>
      <c r="J18" s="15" t="s">
        <v>74</v>
      </c>
      <c r="P18" s="16"/>
    </row>
    <row r="19" spans="2:18" x14ac:dyDescent="0.45">
      <c r="C19" s="16"/>
      <c r="G19" s="22"/>
      <c r="H19" s="41"/>
      <c r="P19" s="16"/>
    </row>
    <row r="20" spans="2:18" x14ac:dyDescent="0.45">
      <c r="B20" s="2" t="s">
        <v>36</v>
      </c>
      <c r="C20" s="3"/>
      <c r="D20" s="9"/>
      <c r="E20" s="4"/>
      <c r="F20" s="3"/>
      <c r="G20" s="25"/>
      <c r="H20" s="3"/>
      <c r="I20" s="3"/>
      <c r="J20" s="4"/>
      <c r="K20" s="3"/>
      <c r="L20" s="9"/>
      <c r="M20" s="3"/>
      <c r="N20" s="3"/>
      <c r="O20" s="3"/>
      <c r="P20" s="3"/>
      <c r="Q20" s="3"/>
    </row>
    <row r="21" spans="2:18" outlineLevel="1" x14ac:dyDescent="0.45">
      <c r="B21" s="1"/>
      <c r="C21" s="1"/>
      <c r="J21" s="1"/>
      <c r="Q21" s="1"/>
    </row>
    <row r="22" spans="2:18" outlineLevel="1" x14ac:dyDescent="0.45">
      <c r="C22" s="17"/>
      <c r="D22" s="6" t="s">
        <v>67</v>
      </c>
      <c r="E22" s="67" t="s">
        <v>47</v>
      </c>
      <c r="F22" s="6" t="s">
        <v>55</v>
      </c>
      <c r="G22" s="26" t="s">
        <v>54</v>
      </c>
      <c r="J22" s="20"/>
      <c r="K22" s="20"/>
      <c r="L22" s="20"/>
      <c r="M22" s="20"/>
      <c r="O22" s="20"/>
      <c r="P22" s="20"/>
      <c r="Q22" s="20"/>
      <c r="R22" s="20"/>
    </row>
    <row r="23" spans="2:18" outlineLevel="1" x14ac:dyDescent="0.45">
      <c r="C23" s="6" t="s">
        <v>46</v>
      </c>
      <c r="D23" s="7" t="s">
        <v>48</v>
      </c>
      <c r="E23" s="6" t="s">
        <v>24</v>
      </c>
      <c r="F23" s="7" t="s">
        <v>48</v>
      </c>
      <c r="G23" s="26" t="s">
        <v>24</v>
      </c>
      <c r="J23" s="18"/>
      <c r="K23" s="18"/>
      <c r="L23" s="18"/>
      <c r="M23" s="18"/>
      <c r="O23" s="18"/>
      <c r="P23" s="18"/>
      <c r="Q23" s="18"/>
      <c r="R23" s="18"/>
    </row>
    <row r="24" spans="2:18" outlineLevel="1" x14ac:dyDescent="0.45">
      <c r="B24" s="18"/>
      <c r="C24" s="7" t="s">
        <v>58</v>
      </c>
      <c r="D24" s="44" t="s">
        <v>51</v>
      </c>
      <c r="E24" s="7" t="s">
        <v>0</v>
      </c>
      <c r="F24" s="44" t="s">
        <v>56</v>
      </c>
      <c r="G24" s="29" t="s">
        <v>0</v>
      </c>
      <c r="I24" s="5"/>
      <c r="J24" s="18"/>
      <c r="K24" s="18"/>
      <c r="L24" s="18"/>
      <c r="M24" s="18"/>
      <c r="O24" s="18"/>
      <c r="P24" s="18"/>
      <c r="Q24" s="18"/>
      <c r="R24" s="18"/>
    </row>
    <row r="25" spans="2:18" outlineLevel="1" x14ac:dyDescent="0.45">
      <c r="B25" s="18"/>
      <c r="C25" s="5">
        <v>0</v>
      </c>
      <c r="D25" s="64">
        <f>qi</f>
        <v>10</v>
      </c>
      <c r="E25" s="50"/>
      <c r="F25" s="18"/>
      <c r="G25" s="42"/>
      <c r="I25" s="5"/>
      <c r="O25" s="24"/>
      <c r="P25" s="39"/>
      <c r="Q25" s="39"/>
      <c r="R25" s="39"/>
    </row>
    <row r="26" spans="2:18" outlineLevel="1" x14ac:dyDescent="0.45">
      <c r="B26" s="31"/>
      <c r="C26" s="20">
        <f t="shared" ref="C26:C65" si="0">C25+1</f>
        <v>1</v>
      </c>
      <c r="D26" s="65">
        <f>qi/((1+B_Factor*D_Factor*C26)^(1/B_Factor))</f>
        <v>5.3896637998791483</v>
      </c>
      <c r="E26" s="62">
        <f>1-D26/D25</f>
        <v>0.46103362001208514</v>
      </c>
      <c r="F26" s="75">
        <f>(D25*40%+D26*60%)*365</f>
        <v>2640.3363721735336</v>
      </c>
      <c r="H26" s="23"/>
      <c r="I26" s="65"/>
      <c r="J26" s="39"/>
      <c r="K26" s="39"/>
      <c r="L26" s="39"/>
      <c r="M26" s="39"/>
      <c r="O26" s="24"/>
      <c r="P26" s="24"/>
      <c r="Q26" s="24"/>
      <c r="R26" s="24"/>
    </row>
    <row r="27" spans="2:18" outlineLevel="1" x14ac:dyDescent="0.45">
      <c r="B27" s="32"/>
      <c r="C27" s="20">
        <f t="shared" si="0"/>
        <v>2</v>
      </c>
      <c r="D27" s="65">
        <f>qi/((1+B_Factor*D_Factor*C27)^(1/B_Factor))</f>
        <v>3.7944054953694959</v>
      </c>
      <c r="E27" s="62">
        <f t="shared" ref="E27:E65" si="1">1-D27/D26</f>
        <v>0.29598475224844689</v>
      </c>
      <c r="F27" s="19">
        <f>AVERAGE(D26,D27)*365</f>
        <v>1676.0926463828775</v>
      </c>
      <c r="G27" s="62">
        <f>1-F27/F26</f>
        <v>0.36519730438621634</v>
      </c>
      <c r="I27" s="62"/>
      <c r="J27" s="40"/>
      <c r="K27" s="40"/>
      <c r="L27" s="40"/>
      <c r="M27" s="40"/>
      <c r="O27" s="23"/>
      <c r="P27" s="53"/>
      <c r="Q27" s="53"/>
      <c r="R27" s="53"/>
    </row>
    <row r="28" spans="2:18" outlineLevel="1" x14ac:dyDescent="0.45">
      <c r="B28" s="32"/>
      <c r="C28" s="20">
        <f t="shared" si="0"/>
        <v>3</v>
      </c>
      <c r="D28" s="65">
        <f>qi/((1+B_Factor*D_Factor*C28)^(1/B_Factor))</f>
        <v>2.9663578746287684</v>
      </c>
      <c r="E28" s="62">
        <f t="shared" si="1"/>
        <v>0.21822855299762656</v>
      </c>
      <c r="F28" s="19">
        <f t="shared" ref="F28:F65" si="2">AVERAGE(D27,D28)*365</f>
        <v>1233.8393150246832</v>
      </c>
      <c r="G28" s="62">
        <f t="shared" ref="G28:G65" si="3">1-F28/F27</f>
        <v>0.26385971701063615</v>
      </c>
      <c r="I28" s="62"/>
      <c r="J28" s="40"/>
      <c r="K28" s="40"/>
      <c r="L28" s="40"/>
      <c r="M28" s="40"/>
      <c r="O28" s="23"/>
      <c r="P28" s="53"/>
      <c r="Q28" s="53"/>
      <c r="R28" s="53"/>
    </row>
    <row r="29" spans="2:18" outlineLevel="1" x14ac:dyDescent="0.45">
      <c r="B29" s="32"/>
      <c r="C29" s="20">
        <f t="shared" si="0"/>
        <v>4</v>
      </c>
      <c r="D29" s="65">
        <f>qi/((1+B_Factor*D_Factor*C29)^(1/B_Factor))</f>
        <v>2.4535382059348358</v>
      </c>
      <c r="E29" s="62">
        <f t="shared" si="1"/>
        <v>0.17287855692668597</v>
      </c>
      <c r="F29" s="19">
        <f t="shared" si="2"/>
        <v>989.13103470285773</v>
      </c>
      <c r="G29" s="62">
        <f t="shared" si="3"/>
        <v>0.19833075291244873</v>
      </c>
      <c r="I29" s="62"/>
      <c r="J29" s="40"/>
      <c r="K29" s="40"/>
      <c r="L29" s="40"/>
      <c r="M29" s="40"/>
      <c r="O29" s="23"/>
      <c r="P29" s="53"/>
      <c r="Q29" s="53"/>
      <c r="R29" s="53"/>
    </row>
    <row r="30" spans="2:18" outlineLevel="1" x14ac:dyDescent="0.45">
      <c r="B30" s="32"/>
      <c r="C30" s="20">
        <f t="shared" si="0"/>
        <v>5</v>
      </c>
      <c r="D30" s="65">
        <f>qi/((1+B_Factor*D_Factor*C30)^(1/B_Factor))</f>
        <v>2.102315121653576</v>
      </c>
      <c r="E30" s="62">
        <f t="shared" si="1"/>
        <v>0.14314962914850493</v>
      </c>
      <c r="F30" s="19">
        <f t="shared" si="2"/>
        <v>831.4432322848852</v>
      </c>
      <c r="G30" s="62">
        <f t="shared" si="3"/>
        <v>0.15942053872098261</v>
      </c>
      <c r="I30" s="62"/>
      <c r="J30" s="40"/>
      <c r="K30" s="40"/>
      <c r="L30" s="40"/>
      <c r="M30" s="40"/>
      <c r="O30" s="23"/>
      <c r="P30" s="53"/>
      <c r="Q30" s="53"/>
      <c r="R30" s="53"/>
    </row>
    <row r="31" spans="2:18" outlineLevel="1" x14ac:dyDescent="0.45">
      <c r="B31" s="32"/>
      <c r="C31" s="20">
        <f t="shared" si="0"/>
        <v>6</v>
      </c>
      <c r="D31" s="65">
        <f>qi/((1+B_Factor*D_Factor*C31)^(1/B_Factor))</f>
        <v>1.8455150475023079</v>
      </c>
      <c r="E31" s="62">
        <f t="shared" si="1"/>
        <v>0.1221510854896396</v>
      </c>
      <c r="F31" s="19">
        <f t="shared" si="2"/>
        <v>720.47900587094875</v>
      </c>
      <c r="G31" s="62">
        <f t="shared" si="3"/>
        <v>0.13345977464871073</v>
      </c>
      <c r="I31" s="62"/>
      <c r="J31" s="40"/>
      <c r="K31" s="40"/>
      <c r="L31" s="40"/>
      <c r="M31" s="40"/>
      <c r="O31" s="23"/>
      <c r="P31" s="53"/>
      <c r="Q31" s="53"/>
      <c r="R31" s="53"/>
    </row>
    <row r="32" spans="2:18" outlineLevel="1" x14ac:dyDescent="0.45">
      <c r="B32" s="32"/>
      <c r="C32" s="20">
        <f t="shared" si="0"/>
        <v>7</v>
      </c>
      <c r="D32" s="65">
        <f>qi/((1+B_Factor*D_Factor*C32)^(1/B_Factor))</f>
        <v>1.648916550417312</v>
      </c>
      <c r="E32" s="62">
        <f t="shared" si="1"/>
        <v>0.10652771287401275</v>
      </c>
      <c r="F32" s="19">
        <f t="shared" si="2"/>
        <v>637.7337666203307</v>
      </c>
      <c r="G32" s="62">
        <f t="shared" si="3"/>
        <v>0.1148475369529911</v>
      </c>
      <c r="I32" s="62"/>
      <c r="J32" s="40"/>
      <c r="K32" s="40"/>
      <c r="L32" s="40"/>
      <c r="M32" s="40"/>
      <c r="O32" s="23"/>
      <c r="P32" s="53"/>
      <c r="Q32" s="53"/>
      <c r="R32" s="53"/>
    </row>
    <row r="33" spans="2:18" outlineLevel="1" x14ac:dyDescent="0.45">
      <c r="B33" s="32"/>
      <c r="C33" s="20">
        <f t="shared" si="0"/>
        <v>8</v>
      </c>
      <c r="D33" s="65">
        <f>qi/((1+B_Factor*D_Factor*C33)^(1/B_Factor))</f>
        <v>1.4931779688994296</v>
      </c>
      <c r="E33" s="62">
        <f t="shared" si="1"/>
        <v>9.4449037750556686E-2</v>
      </c>
      <c r="F33" s="19">
        <f t="shared" si="2"/>
        <v>573.43224977530542</v>
      </c>
      <c r="G33" s="62">
        <f t="shared" si="3"/>
        <v>0.1008281515118622</v>
      </c>
      <c r="I33" s="62"/>
      <c r="J33" s="40"/>
      <c r="K33" s="40"/>
      <c r="L33" s="40"/>
      <c r="M33" s="40"/>
      <c r="O33" s="23"/>
      <c r="P33" s="53"/>
      <c r="Q33" s="53"/>
      <c r="R33" s="53"/>
    </row>
    <row r="34" spans="2:18" outlineLevel="1" x14ac:dyDescent="0.45">
      <c r="B34" s="32"/>
      <c r="C34" s="20">
        <f t="shared" si="0"/>
        <v>9</v>
      </c>
      <c r="D34" s="65">
        <f>qi/((1+B_Factor*D_Factor*C34)^(1/B_Factor))</f>
        <v>1.366509800042621</v>
      </c>
      <c r="E34" s="62">
        <f t="shared" si="1"/>
        <v>8.4831260234954686E-2</v>
      </c>
      <c r="F34" s="19">
        <f t="shared" si="2"/>
        <v>521.89301783192423</v>
      </c>
      <c r="G34" s="62">
        <f t="shared" si="3"/>
        <v>8.9878502584353037E-2</v>
      </c>
      <c r="I34" s="62"/>
      <c r="J34" s="40"/>
      <c r="K34" s="40"/>
      <c r="L34" s="40"/>
      <c r="M34" s="40"/>
      <c r="O34" s="23"/>
      <c r="P34" s="53"/>
      <c r="Q34" s="53"/>
      <c r="R34" s="53"/>
    </row>
    <row r="35" spans="2:18" outlineLevel="1" x14ac:dyDescent="0.45">
      <c r="B35" s="32"/>
      <c r="C35" s="20">
        <f t="shared" si="0"/>
        <v>10</v>
      </c>
      <c r="D35" s="65">
        <f>qi/((1+B_Factor*D_Factor*C35)^(1/B_Factor))</f>
        <v>1.2612999423431956</v>
      </c>
      <c r="E35" s="62">
        <f t="shared" si="1"/>
        <v>7.6991659844769411E-2</v>
      </c>
      <c r="F35" s="19">
        <f t="shared" si="2"/>
        <v>479.57527798541156</v>
      </c>
      <c r="G35" s="62">
        <f t="shared" si="3"/>
        <v>8.1085085258107648E-2</v>
      </c>
      <c r="I35" s="55"/>
      <c r="J35" s="40"/>
      <c r="K35" s="40"/>
      <c r="L35" s="40"/>
      <c r="M35" s="40"/>
      <c r="O35" s="23"/>
      <c r="P35" s="53"/>
      <c r="Q35" s="53"/>
      <c r="R35" s="53"/>
    </row>
    <row r="36" spans="2:18" outlineLevel="1" x14ac:dyDescent="0.45">
      <c r="B36" s="32"/>
      <c r="C36" s="20">
        <f t="shared" si="0"/>
        <v>11</v>
      </c>
      <c r="D36" s="65">
        <f>qi/((1+B_Factor*D_Factor*C36)^(1/B_Factor))</f>
        <v>1.1724051212972071</v>
      </c>
      <c r="E36" s="62">
        <f t="shared" si="1"/>
        <v>7.0478732347234674E-2</v>
      </c>
      <c r="F36" s="19">
        <f t="shared" si="2"/>
        <v>444.15117411437353</v>
      </c>
      <c r="G36" s="62">
        <f t="shared" si="3"/>
        <v>7.3865575431341535E-2</v>
      </c>
      <c r="I36" s="55"/>
      <c r="J36" s="40"/>
      <c r="K36" s="40"/>
      <c r="L36" s="40"/>
      <c r="M36" s="40"/>
      <c r="O36" s="23"/>
      <c r="P36" s="53"/>
      <c r="Q36" s="53"/>
      <c r="R36" s="53"/>
    </row>
    <row r="37" spans="2:18" outlineLevel="1" x14ac:dyDescent="0.45">
      <c r="B37" s="32"/>
      <c r="C37" s="20">
        <f t="shared" si="0"/>
        <v>12</v>
      </c>
      <c r="D37" s="65">
        <f>qi/((1+B_Factor*D_Factor*C37)^(1/B_Factor))</f>
        <v>1.0962199738275202</v>
      </c>
      <c r="E37" s="62">
        <f t="shared" si="1"/>
        <v>6.4981929953864315E-2</v>
      </c>
      <c r="F37" s="19">
        <f t="shared" si="2"/>
        <v>414.02407986026276</v>
      </c>
      <c r="G37" s="62">
        <f t="shared" si="3"/>
        <v>6.783072073192975E-2</v>
      </c>
      <c r="I37" s="55"/>
      <c r="J37" s="40"/>
      <c r="K37" s="40"/>
      <c r="L37" s="40"/>
      <c r="M37" s="40"/>
      <c r="O37" s="23"/>
      <c r="P37" s="53"/>
      <c r="Q37" s="53"/>
      <c r="R37" s="53"/>
    </row>
    <row r="38" spans="2:18" outlineLevel="1" x14ac:dyDescent="0.45">
      <c r="B38" s="32"/>
      <c r="C38" s="20">
        <f t="shared" si="0"/>
        <v>13</v>
      </c>
      <c r="D38" s="65">
        <f>qi/((1+B_Factor*D_Factor*C38)^(1/B_Factor))</f>
        <v>1.0301391452725239</v>
      </c>
      <c r="E38" s="62">
        <f t="shared" si="1"/>
        <v>6.0280628097179267E-2</v>
      </c>
      <c r="F38" s="19">
        <f t="shared" si="2"/>
        <v>388.06053923575809</v>
      </c>
      <c r="G38" s="62">
        <f t="shared" si="3"/>
        <v>6.2710218771013571E-2</v>
      </c>
      <c r="I38" s="55"/>
      <c r="J38" s="40"/>
      <c r="K38" s="40"/>
      <c r="L38" s="40"/>
      <c r="M38" s="40"/>
      <c r="O38" s="23"/>
      <c r="P38" s="53"/>
      <c r="Q38" s="53"/>
      <c r="R38" s="53"/>
    </row>
    <row r="39" spans="2:18" outlineLevel="1" x14ac:dyDescent="0.45">
      <c r="B39" s="32"/>
      <c r="C39" s="20">
        <f t="shared" si="0"/>
        <v>14</v>
      </c>
      <c r="D39" s="65">
        <f>qi/((1+B_Factor*D_Factor*C39)^(1/B_Factor))</f>
        <v>0.97223114015625378</v>
      </c>
      <c r="E39" s="62">
        <f t="shared" si="1"/>
        <v>5.6213770131947172E-2</v>
      </c>
      <c r="F39" s="19">
        <f t="shared" si="2"/>
        <v>365.43257709075186</v>
      </c>
      <c r="G39" s="62">
        <f t="shared" si="3"/>
        <v>5.8310391954743634E-2</v>
      </c>
      <c r="I39" s="55"/>
      <c r="J39" s="40"/>
      <c r="K39" s="40"/>
      <c r="L39" s="40"/>
      <c r="M39" s="40"/>
      <c r="O39" s="23"/>
      <c r="P39" s="53"/>
      <c r="Q39" s="53"/>
      <c r="R39" s="53"/>
    </row>
    <row r="40" spans="2:18" outlineLevel="1" x14ac:dyDescent="0.45">
      <c r="B40" s="32"/>
      <c r="C40" s="20">
        <f t="shared" si="0"/>
        <v>15</v>
      </c>
      <c r="D40" s="65">
        <f>qi/((1+B_Factor*D_Factor*C40)^(1/B_Factor))</f>
        <v>0.92103244471561596</v>
      </c>
      <c r="E40" s="62">
        <f t="shared" si="1"/>
        <v>5.2661032264826768E-2</v>
      </c>
      <c r="F40" s="19">
        <f t="shared" si="2"/>
        <v>345.52060423911621</v>
      </c>
      <c r="G40" s="62">
        <f t="shared" si="3"/>
        <v>5.4488773305754523E-2</v>
      </c>
      <c r="I40" s="55"/>
      <c r="J40" s="40"/>
      <c r="K40" s="40"/>
      <c r="L40" s="40"/>
      <c r="M40" s="40"/>
      <c r="O40" s="23"/>
      <c r="P40" s="53"/>
      <c r="Q40" s="53"/>
      <c r="R40" s="53"/>
    </row>
    <row r="41" spans="2:18" outlineLevel="1" x14ac:dyDescent="0.45">
      <c r="B41" s="32"/>
      <c r="C41" s="20">
        <f t="shared" si="0"/>
        <v>16</v>
      </c>
      <c r="D41" s="65">
        <f>qi/((1+B_Factor*D_Factor*C41)^(1/B_Factor))</f>
        <v>0.87541305302684347</v>
      </c>
      <c r="E41" s="62">
        <f t="shared" si="1"/>
        <v>4.9530710834902458E-2</v>
      </c>
      <c r="F41" s="19">
        <f t="shared" si="2"/>
        <v>327.85130333799884</v>
      </c>
      <c r="G41" s="62">
        <f t="shared" si="3"/>
        <v>5.113819750352544E-2</v>
      </c>
      <c r="I41" s="55"/>
      <c r="J41" s="40"/>
      <c r="K41" s="40"/>
      <c r="L41" s="40"/>
      <c r="M41" s="40"/>
      <c r="O41" s="23"/>
      <c r="P41" s="53"/>
      <c r="Q41" s="53"/>
      <c r="R41" s="53"/>
    </row>
    <row r="42" spans="2:18" outlineLevel="1" x14ac:dyDescent="0.45">
      <c r="B42" s="32"/>
      <c r="C42" s="20">
        <f t="shared" si="0"/>
        <v>17</v>
      </c>
      <c r="D42" s="65">
        <f>qi/((1+B_Factor*D_Factor*C42)^(1/B_Factor))</f>
        <v>0.83448601360578722</v>
      </c>
      <c r="E42" s="62">
        <f t="shared" si="1"/>
        <v>4.6751689707557165E-2</v>
      </c>
      <c r="F42" s="19">
        <f t="shared" si="2"/>
        <v>312.0565796604551</v>
      </c>
      <c r="G42" s="62">
        <f t="shared" si="3"/>
        <v>4.8176485854198758E-2</v>
      </c>
      <c r="I42" s="55"/>
      <c r="J42" s="40"/>
      <c r="K42" s="40"/>
      <c r="L42" s="40"/>
      <c r="M42" s="40"/>
      <c r="O42" s="23"/>
      <c r="P42" s="53"/>
      <c r="Q42" s="53"/>
      <c r="R42" s="53"/>
    </row>
    <row r="43" spans="2:18" outlineLevel="1" x14ac:dyDescent="0.45">
      <c r="B43" s="32"/>
      <c r="C43" s="20">
        <f t="shared" si="0"/>
        <v>18</v>
      </c>
      <c r="D43" s="65">
        <f>qi/((1+B_Factor*D_Factor*C43)^(1/B_Factor))</f>
        <v>0.7975450122498845</v>
      </c>
      <c r="E43" s="62">
        <f t="shared" si="1"/>
        <v>4.4267969448980704E-2</v>
      </c>
      <c r="F43" s="19">
        <f t="shared" si="2"/>
        <v>297.8456622186601</v>
      </c>
      <c r="G43" s="62">
        <f t="shared" si="3"/>
        <v>4.5539553940050603E-2</v>
      </c>
      <c r="J43" s="40"/>
      <c r="K43" s="40"/>
      <c r="L43" s="40"/>
      <c r="M43" s="40"/>
      <c r="O43" s="23"/>
      <c r="P43" s="53"/>
      <c r="Q43" s="53"/>
      <c r="R43" s="53"/>
    </row>
    <row r="44" spans="2:18" outlineLevel="1" x14ac:dyDescent="0.45">
      <c r="B44" s="32"/>
      <c r="C44" s="20">
        <f t="shared" si="0"/>
        <v>19</v>
      </c>
      <c r="D44" s="65">
        <f>qi/((1+B_Factor*D_Factor*C44)^(1/B_Factor))</f>
        <v>0.76402032478882931</v>
      </c>
      <c r="E44" s="62">
        <f t="shared" si="1"/>
        <v>4.2034853138234296E-2</v>
      </c>
      <c r="F44" s="19">
        <f t="shared" si="2"/>
        <v>284.98567400956523</v>
      </c>
      <c r="G44" s="62">
        <f t="shared" si="3"/>
        <v>4.317668457314594E-2</v>
      </c>
      <c r="I44" s="41"/>
      <c r="J44" s="40"/>
      <c r="K44" s="40"/>
      <c r="L44" s="40"/>
      <c r="M44" s="40"/>
      <c r="O44" s="23"/>
      <c r="P44" s="53"/>
      <c r="Q44" s="53"/>
      <c r="R44" s="53"/>
    </row>
    <row r="45" spans="2:18" outlineLevel="1" x14ac:dyDescent="0.45">
      <c r="B45" s="32"/>
      <c r="C45" s="20">
        <f t="shared" si="0"/>
        <v>20</v>
      </c>
      <c r="D45" s="65">
        <f>qi/((1+B_Factor*D_Factor*C45)^(1/B_Factor))</f>
        <v>0.73344711049817224</v>
      </c>
      <c r="E45" s="62">
        <f t="shared" si="1"/>
        <v>4.0016231635077726E-2</v>
      </c>
      <c r="F45" s="19">
        <f t="shared" si="2"/>
        <v>273.28780693987778</v>
      </c>
      <c r="G45" s="62">
        <f t="shared" si="3"/>
        <v>4.1047210918029542E-2</v>
      </c>
      <c r="I45" s="41"/>
      <c r="J45" s="40"/>
      <c r="K45" s="40"/>
      <c r="L45" s="40"/>
      <c r="M45" s="40"/>
      <c r="O45" s="23"/>
      <c r="P45" s="53"/>
      <c r="Q45" s="53"/>
      <c r="R45" s="53"/>
    </row>
    <row r="46" spans="2:18" outlineLevel="1" x14ac:dyDescent="0.45">
      <c r="B46" s="32"/>
      <c r="C46" s="20">
        <f t="shared" si="0"/>
        <v>21</v>
      </c>
      <c r="D46" s="65">
        <f>qi/((1+B_Factor*D_Factor*C46)^(1/B_Factor))</f>
        <v>0.70544218149825644</v>
      </c>
      <c r="E46" s="62">
        <f t="shared" si="1"/>
        <v>3.8182615486608507E-2</v>
      </c>
      <c r="F46" s="19">
        <f t="shared" si="2"/>
        <v>262.59729578934821</v>
      </c>
      <c r="G46" s="62">
        <f t="shared" si="3"/>
        <v>3.9118141677215168E-2</v>
      </c>
      <c r="I46" s="41"/>
      <c r="J46" s="40"/>
      <c r="K46" s="40"/>
      <c r="L46" s="40"/>
      <c r="M46" s="40"/>
      <c r="O46" s="23"/>
      <c r="P46" s="53"/>
      <c r="Q46" s="53"/>
      <c r="R46" s="53"/>
    </row>
    <row r="47" spans="2:18" outlineLevel="1" x14ac:dyDescent="0.45">
      <c r="B47" s="32"/>
      <c r="C47" s="20">
        <f t="shared" si="0"/>
        <v>22</v>
      </c>
      <c r="D47" s="65">
        <f>qi/((1+B_Factor*D_Factor*C47)^(1/B_Factor))</f>
        <v>0.67968671009979464</v>
      </c>
      <c r="E47" s="62">
        <f t="shared" si="1"/>
        <v>3.6509684385134022E-2</v>
      </c>
      <c r="F47" s="19">
        <f t="shared" si="2"/>
        <v>252.78602271664431</v>
      </c>
      <c r="G47" s="62">
        <f t="shared" si="3"/>
        <v>3.7362429964146959E-2</v>
      </c>
      <c r="I47" s="41"/>
      <c r="J47" s="40"/>
      <c r="K47" s="40"/>
      <c r="L47" s="40"/>
      <c r="M47" s="40"/>
      <c r="O47" s="23"/>
      <c r="P47" s="53"/>
      <c r="Q47" s="53"/>
      <c r="R47" s="53"/>
    </row>
    <row r="48" spans="2:18" outlineLevel="1" x14ac:dyDescent="0.45">
      <c r="B48" s="32"/>
      <c r="C48" s="20">
        <f t="shared" si="0"/>
        <v>23</v>
      </c>
      <c r="D48" s="65">
        <f>qi/((1+B_Factor*D_Factor*C48)^(1/B_Factor))</f>
        <v>0.65591317070867805</v>
      </c>
      <c r="E48" s="62">
        <f t="shared" si="1"/>
        <v>3.4977202051848399E-2</v>
      </c>
      <c r="F48" s="19">
        <f t="shared" si="2"/>
        <v>243.74697824754625</v>
      </c>
      <c r="G48" s="62">
        <f t="shared" si="3"/>
        <v>3.5757690919605123E-2</v>
      </c>
      <c r="I48" s="41"/>
      <c r="J48" s="40"/>
      <c r="K48" s="40"/>
      <c r="L48" s="40"/>
      <c r="M48" s="40"/>
      <c r="O48" s="23"/>
      <c r="P48" s="53"/>
      <c r="Q48" s="53"/>
      <c r="R48" s="53"/>
    </row>
    <row r="49" spans="2:18" outlineLevel="1" x14ac:dyDescent="0.45">
      <c r="B49" s="32"/>
      <c r="C49" s="20">
        <f t="shared" si="0"/>
        <v>24</v>
      </c>
      <c r="D49" s="65">
        <f>qi/((1+B_Factor*D_Factor*C49)^(1/B_Factor))</f>
        <v>0.63389535049707568</v>
      </c>
      <c r="E49" s="62">
        <f t="shared" si="1"/>
        <v>3.3568193466542717E-2</v>
      </c>
      <c r="F49" s="19">
        <f t="shared" si="2"/>
        <v>235.39005512005005</v>
      </c>
      <c r="G49" s="62">
        <f t="shared" si="3"/>
        <v>3.4285237862555218E-2</v>
      </c>
      <c r="I49" s="41"/>
      <c r="J49" s="40"/>
      <c r="K49" s="40"/>
      <c r="L49" s="40"/>
      <c r="M49" s="40"/>
      <c r="O49" s="23"/>
      <c r="P49" s="53"/>
      <c r="Q49" s="53"/>
      <c r="R49" s="53"/>
    </row>
    <row r="50" spans="2:18" outlineLevel="1" x14ac:dyDescent="0.45">
      <c r="B50" s="32"/>
      <c r="C50" s="20">
        <f t="shared" si="0"/>
        <v>25</v>
      </c>
      <c r="D50" s="65">
        <f>qi/((1+B_Factor*D_Factor*C50)^(1/B_Factor))</f>
        <v>0.61344061672244543</v>
      </c>
      <c r="E50" s="62">
        <f t="shared" si="1"/>
        <v>3.2268313308482899E-2</v>
      </c>
      <c r="F50" s="19">
        <f t="shared" si="2"/>
        <v>227.63881401756259</v>
      </c>
      <c r="G50" s="62">
        <f t="shared" si="3"/>
        <v>3.2929348262118796E-2</v>
      </c>
      <c r="I50" s="41"/>
      <c r="J50" s="40"/>
      <c r="K50" s="40"/>
      <c r="L50" s="40"/>
      <c r="M50" s="40"/>
      <c r="O50" s="23"/>
      <c r="P50" s="53"/>
      <c r="Q50" s="53"/>
      <c r="R50" s="53"/>
    </row>
    <row r="51" spans="2:18" outlineLevel="1" x14ac:dyDescent="0.45">
      <c r="B51" s="32"/>
      <c r="C51" s="20">
        <f t="shared" si="0"/>
        <v>26</v>
      </c>
      <c r="D51" s="65">
        <f>qi/((1+B_Factor*D_Factor*C51)^(1/B_Factor))</f>
        <v>0.5943838657655619</v>
      </c>
      <c r="E51" s="62">
        <f t="shared" si="1"/>
        <v>3.1065355696044294E-2</v>
      </c>
      <c r="F51" s="19">
        <f t="shared" si="2"/>
        <v>220.42796805406135</v>
      </c>
      <c r="G51" s="62">
        <f t="shared" si="3"/>
        <v>3.1676697994679093E-2</v>
      </c>
      <c r="I51" s="41"/>
      <c r="J51" s="40"/>
      <c r="K51" s="40"/>
      <c r="L51" s="40"/>
      <c r="M51" s="40"/>
      <c r="O51" s="23"/>
      <c r="P51" s="53"/>
      <c r="Q51" s="53"/>
      <c r="R51" s="53"/>
    </row>
    <row r="52" spans="2:18" outlineLevel="1" x14ac:dyDescent="0.45">
      <c r="B52" s="32"/>
      <c r="C52" s="20">
        <f t="shared" si="0"/>
        <v>27</v>
      </c>
      <c r="D52" s="65">
        <f>qi/((1+B_Factor*D_Factor*C52)^(1/B_Factor))</f>
        <v>0.57658274083698102</v>
      </c>
      <c r="E52" s="62">
        <f t="shared" si="1"/>
        <v>2.9948869668010247E-2</v>
      </c>
      <c r="F52" s="19">
        <f t="shared" si="2"/>
        <v>213.70140570496406</v>
      </c>
      <c r="G52" s="62">
        <f t="shared" si="3"/>
        <v>3.0515920499922911E-2</v>
      </c>
      <c r="I52" s="41"/>
      <c r="J52" s="40"/>
      <c r="K52" s="40"/>
      <c r="L52" s="40"/>
      <c r="M52" s="40"/>
      <c r="O52" s="23"/>
      <c r="P52" s="53"/>
      <c r="Q52" s="53"/>
      <c r="R52" s="53"/>
    </row>
    <row r="53" spans="2:18" outlineLevel="1" x14ac:dyDescent="0.45">
      <c r="B53" s="32"/>
      <c r="C53" s="20">
        <f t="shared" si="0"/>
        <v>28</v>
      </c>
      <c r="D53" s="65">
        <f>qi/((1+B_Factor*D_Factor*C53)^(1/B_Factor))</f>
        <v>0.55991381756479763</v>
      </c>
      <c r="E53" s="62">
        <f t="shared" si="1"/>
        <v>2.8909854720913786E-2</v>
      </c>
      <c r="F53" s="19">
        <f t="shared" si="2"/>
        <v>207.41062190832463</v>
      </c>
      <c r="G53" s="62">
        <f t="shared" si="3"/>
        <v>2.9437259787258863E-2</v>
      </c>
      <c r="I53" s="41"/>
      <c r="J53" s="40"/>
      <c r="K53" s="40"/>
      <c r="L53" s="40"/>
      <c r="M53" s="40"/>
      <c r="O53" s="23"/>
      <c r="P53" s="53"/>
      <c r="Q53" s="53"/>
      <c r="R53" s="53"/>
    </row>
    <row r="54" spans="2:18" outlineLevel="1" x14ac:dyDescent="0.45">
      <c r="B54" s="32"/>
      <c r="C54" s="20">
        <f t="shared" si="0"/>
        <v>29</v>
      </c>
      <c r="D54" s="65">
        <f>qi/((1+B_Factor*D_Factor*C54)^(1/B_Factor))</f>
        <v>0.54426953568587144</v>
      </c>
      <c r="E54" s="62">
        <f t="shared" si="1"/>
        <v>2.7940517608525894E-2</v>
      </c>
      <c r="F54" s="19">
        <f t="shared" si="2"/>
        <v>201.5134619682471</v>
      </c>
      <c r="G54" s="62">
        <f t="shared" si="3"/>
        <v>2.8432294767835375E-2</v>
      </c>
      <c r="I54" s="41"/>
      <c r="J54" s="40"/>
      <c r="K54" s="40"/>
      <c r="L54" s="40"/>
      <c r="M54" s="40"/>
      <c r="O54" s="23"/>
      <c r="P54" s="53"/>
      <c r="Q54" s="53"/>
      <c r="R54" s="53"/>
    </row>
    <row r="55" spans="2:18" outlineLevel="1" x14ac:dyDescent="0.45">
      <c r="B55" s="32"/>
      <c r="C55" s="20">
        <f t="shared" si="0"/>
        <v>30</v>
      </c>
      <c r="D55" s="65">
        <f>qi/((1+B_Factor*D_Factor*C55)^(1/B_Factor))</f>
        <v>0.52955571142783209</v>
      </c>
      <c r="E55" s="62">
        <f t="shared" si="1"/>
        <v>2.7034076488402836E-2</v>
      </c>
      <c r="F55" s="19">
        <f t="shared" si="2"/>
        <v>195.97310759825089</v>
      </c>
      <c r="G55" s="62">
        <f t="shared" si="3"/>
        <v>2.7493718364429709E-2</v>
      </c>
      <c r="I55" s="41"/>
      <c r="J55" s="40"/>
      <c r="K55" s="40"/>
      <c r="L55" s="40"/>
      <c r="M55" s="40"/>
      <c r="O55" s="23"/>
      <c r="P55" s="53"/>
      <c r="Q55" s="53"/>
      <c r="R55" s="53"/>
    </row>
    <row r="56" spans="2:18" outlineLevel="1" x14ac:dyDescent="0.45">
      <c r="B56" s="32"/>
      <c r="C56" s="20">
        <f t="shared" si="0"/>
        <v>31</v>
      </c>
      <c r="D56" s="65">
        <f>qi/((1+B_Factor*D_Factor*C56)^(1/B_Factor))</f>
        <v>0.51568950588766671</v>
      </c>
      <c r="E56" s="62">
        <f t="shared" si="1"/>
        <v>2.6184601999246104E-2</v>
      </c>
      <c r="F56" s="19">
        <f t="shared" si="2"/>
        <v>190.75725216007856</v>
      </c>
      <c r="G56" s="62">
        <f t="shared" si="3"/>
        <v>2.6615159100629948E-2</v>
      </c>
      <c r="I56" s="41"/>
      <c r="J56" s="40"/>
      <c r="K56" s="40"/>
      <c r="L56" s="40"/>
      <c r="M56" s="40"/>
      <c r="O56" s="23"/>
      <c r="P56" s="53"/>
      <c r="Q56" s="53"/>
      <c r="R56" s="53"/>
    </row>
    <row r="57" spans="2:18" outlineLevel="1" x14ac:dyDescent="0.45">
      <c r="B57" s="32"/>
      <c r="C57" s="20">
        <f t="shared" si="0"/>
        <v>32</v>
      </c>
      <c r="D57" s="65">
        <f>qi/((1+B_Factor*D_Factor*C57)^(1/B_Factor))</f>
        <v>0.50259775447248944</v>
      </c>
      <c r="E57" s="62">
        <f t="shared" si="1"/>
        <v>2.5386887391943613E-2</v>
      </c>
      <c r="F57" s="19">
        <f t="shared" si="2"/>
        <v>185.83742501572848</v>
      </c>
      <c r="G57" s="62">
        <f t="shared" si="3"/>
        <v>2.5791035929902617E-2</v>
      </c>
      <c r="I57" s="41"/>
      <c r="J57" s="40"/>
      <c r="K57" s="40"/>
      <c r="L57" s="40"/>
      <c r="M57" s="40"/>
      <c r="O57" s="23"/>
      <c r="P57" s="53"/>
      <c r="Q57" s="53"/>
      <c r="R57" s="53"/>
    </row>
    <row r="58" spans="2:18" outlineLevel="1" x14ac:dyDescent="0.45">
      <c r="B58" s="32"/>
      <c r="C58" s="20">
        <f t="shared" si="0"/>
        <v>33</v>
      </c>
      <c r="D58" s="65">
        <f>qi/((1+B_Factor*D_Factor*C58)^(1/B_Factor))</f>
        <v>0.49021558445532182</v>
      </c>
      <c r="E58" s="62">
        <f t="shared" si="1"/>
        <v>2.4636341700657982E-2</v>
      </c>
      <c r="F58" s="19">
        <f t="shared" si="2"/>
        <v>181.18843435432558</v>
      </c>
      <c r="G58" s="62">
        <f t="shared" si="3"/>
        <v>2.5016439293696791E-2</v>
      </c>
      <c r="I58" s="41"/>
      <c r="J58" s="40"/>
      <c r="K58" s="40"/>
      <c r="L58" s="40"/>
      <c r="M58" s="40"/>
      <c r="O58" s="23"/>
      <c r="P58" s="53"/>
      <c r="Q58" s="53"/>
      <c r="R58" s="53"/>
    </row>
    <row r="59" spans="2:18" outlineLevel="1" x14ac:dyDescent="0.45">
      <c r="B59" s="32"/>
      <c r="C59" s="20">
        <f t="shared" si="0"/>
        <v>34</v>
      </c>
      <c r="D59" s="65">
        <f>qi/((1+B_Factor*D_Factor*C59)^(1/B_Factor))</f>
        <v>0.47848526410838421</v>
      </c>
      <c r="E59" s="62">
        <f t="shared" si="1"/>
        <v>2.3928901321999319E-2</v>
      </c>
      <c r="F59" s="19">
        <f t="shared" si="2"/>
        <v>176.78790486287636</v>
      </c>
      <c r="G59" s="62">
        <f t="shared" si="3"/>
        <v>2.4287033039005701E-2</v>
      </c>
      <c r="I59" s="19"/>
      <c r="J59" s="40"/>
      <c r="K59" s="40"/>
      <c r="L59" s="40"/>
      <c r="M59" s="40"/>
      <c r="O59" s="23"/>
      <c r="P59" s="53"/>
      <c r="Q59" s="53"/>
      <c r="R59" s="53"/>
    </row>
    <row r="60" spans="2:18" outlineLevel="1" x14ac:dyDescent="0.45">
      <c r="B60" s="32"/>
      <c r="C60" s="20">
        <f t="shared" si="0"/>
        <v>35</v>
      </c>
      <c r="D60" s="65">
        <f>qi/((1+B_Factor*D_Factor*C60)^(1/B_Factor))</f>
        <v>0.46735523923957295</v>
      </c>
      <c r="E60" s="62">
        <f t="shared" si="1"/>
        <v>2.3260956404898114E-2</v>
      </c>
      <c r="F60" s="19">
        <f t="shared" si="2"/>
        <v>172.61589186100218</v>
      </c>
      <c r="G60" s="62">
        <f t="shared" si="3"/>
        <v>2.3598973046884408E-2</v>
      </c>
      <c r="I60" s="19"/>
      <c r="J60" s="40"/>
      <c r="K60" s="40"/>
      <c r="L60" s="40"/>
      <c r="M60" s="40"/>
      <c r="O60" s="23"/>
      <c r="P60" s="53"/>
      <c r="Q60" s="53"/>
      <c r="R60" s="53"/>
    </row>
    <row r="61" spans="2:18" outlineLevel="1" x14ac:dyDescent="0.45">
      <c r="B61" s="32"/>
      <c r="C61" s="20">
        <f t="shared" si="0"/>
        <v>36</v>
      </c>
      <c r="D61" s="65">
        <f>qi/((1+B_Factor*D_Factor*C61)^(1/B_Factor))</f>
        <v>0.45677932235512803</v>
      </c>
      <c r="E61" s="62">
        <f t="shared" si="1"/>
        <v>2.2629289235427952E-2</v>
      </c>
      <c r="F61" s="19">
        <f t="shared" si="2"/>
        <v>168.65455749103293</v>
      </c>
      <c r="G61" s="62">
        <f t="shared" si="3"/>
        <v>2.2948839340696914E-2</v>
      </c>
      <c r="I61" s="19"/>
      <c r="J61" s="40"/>
      <c r="K61" s="40"/>
      <c r="L61" s="40"/>
      <c r="M61" s="40"/>
      <c r="O61" s="23"/>
      <c r="P61" s="53"/>
      <c r="Q61" s="53"/>
      <c r="R61" s="53"/>
    </row>
    <row r="62" spans="2:18" outlineLevel="1" x14ac:dyDescent="0.45">
      <c r="B62" s="32"/>
      <c r="C62" s="20">
        <f t="shared" si="0"/>
        <v>37</v>
      </c>
      <c r="D62" s="65">
        <f>qi/((1+B_Factor*D_Factor*C62)^(1/B_Factor))</f>
        <v>0.44671600687408991</v>
      </c>
      <c r="E62" s="62">
        <f t="shared" si="1"/>
        <v>2.20310223964435E-2</v>
      </c>
      <c r="F62" s="19">
        <f t="shared" si="2"/>
        <v>164.88789758433228</v>
      </c>
      <c r="G62" s="62">
        <f t="shared" si="3"/>
        <v>2.2333579137942428E-2</v>
      </c>
      <c r="I62" s="19"/>
      <c r="J62" s="40"/>
      <c r="K62" s="40"/>
      <c r="L62" s="40"/>
      <c r="M62" s="40"/>
      <c r="O62" s="23"/>
      <c r="P62" s="53"/>
      <c r="Q62" s="53"/>
      <c r="R62" s="53"/>
    </row>
    <row r="63" spans="2:18" outlineLevel="1" x14ac:dyDescent="0.45">
      <c r="B63" s="32"/>
      <c r="C63" s="18">
        <f t="shared" si="0"/>
        <v>38</v>
      </c>
      <c r="D63" s="65">
        <f>qi/((1+B_Factor*D_Factor*C63)^(1/B_Factor))</f>
        <v>0.43712788438388833</v>
      </c>
      <c r="E63" s="62">
        <f t="shared" si="1"/>
        <v>2.1463574939467156E-2</v>
      </c>
      <c r="F63" s="19">
        <f t="shared" si="2"/>
        <v>161.30151015458102</v>
      </c>
      <c r="G63" s="62">
        <f t="shared" si="3"/>
        <v>2.1750458840782971E-2</v>
      </c>
      <c r="I63" s="19"/>
      <c r="J63" s="40"/>
      <c r="K63" s="40"/>
      <c r="L63" s="40"/>
      <c r="M63" s="40"/>
      <c r="O63" s="23"/>
      <c r="P63" s="53"/>
      <c r="Q63" s="53"/>
      <c r="R63" s="53"/>
    </row>
    <row r="64" spans="2:18" outlineLevel="1" x14ac:dyDescent="0.45">
      <c r="B64" s="32"/>
      <c r="C64" s="18">
        <f t="shared" si="0"/>
        <v>39</v>
      </c>
      <c r="D64" s="65">
        <f>qi/((1+B_Factor*D_Factor*C64)^(1/B_Factor))</f>
        <v>0.42798114725603131</v>
      </c>
      <c r="E64" s="62">
        <f t="shared" si="1"/>
        <v>2.0924625160321009E-2</v>
      </c>
      <c r="F64" s="19">
        <f t="shared" si="2"/>
        <v>157.88239827428535</v>
      </c>
      <c r="G64" s="62">
        <f t="shared" si="3"/>
        <v>2.1197023369582957E-2</v>
      </c>
      <c r="I64" s="19"/>
      <c r="J64" s="40"/>
      <c r="K64" s="40"/>
      <c r="L64" s="40"/>
      <c r="M64" s="40"/>
      <c r="O64" s="23"/>
      <c r="P64" s="53"/>
      <c r="Q64" s="53"/>
      <c r="R64" s="53"/>
    </row>
    <row r="65" spans="3:18" outlineLevel="1" x14ac:dyDescent="0.45">
      <c r="C65" s="18">
        <f t="shared" si="0"/>
        <v>40</v>
      </c>
      <c r="D65" s="65">
        <f>qi/((1+B_Factor*D_Factor*C65)^(1/B_Factor))</f>
        <v>0.4192451623335946</v>
      </c>
      <c r="E65" s="62">
        <f t="shared" si="1"/>
        <v>2.0412078846105297E-2</v>
      </c>
      <c r="F65" s="19">
        <f t="shared" si="2"/>
        <v>154.61880150010674</v>
      </c>
      <c r="G65" s="62">
        <f t="shared" si="3"/>
        <v>2.0671061561332804E-2</v>
      </c>
      <c r="I65" s="19"/>
      <c r="J65" s="40"/>
      <c r="K65" s="40"/>
      <c r="L65" s="40"/>
      <c r="M65" s="40"/>
      <c r="O65" s="23"/>
      <c r="P65" s="53"/>
      <c r="Q65" s="53"/>
      <c r="R65" s="53"/>
    </row>
    <row r="66" spans="3:18" outlineLevel="1" x14ac:dyDescent="0.45">
      <c r="C66" s="8" t="s">
        <v>3</v>
      </c>
      <c r="D66" s="66"/>
      <c r="E66" s="27"/>
      <c r="F66" s="27">
        <f>SUM(F26:F65)</f>
        <v>17732.889723742923</v>
      </c>
      <c r="I66" s="21"/>
      <c r="J66" s="56"/>
      <c r="K66" s="56"/>
      <c r="L66" s="56"/>
      <c r="M66" s="56"/>
      <c r="N66" s="19"/>
      <c r="O66" s="24"/>
      <c r="P66" s="24"/>
      <c r="Q66" s="24"/>
      <c r="R66" s="24"/>
    </row>
    <row r="67" spans="3:18" x14ac:dyDescent="0.45">
      <c r="O67" s="21"/>
      <c r="P67" s="21"/>
      <c r="Q67" s="21"/>
      <c r="R67" s="21"/>
    </row>
    <row r="68" spans="3:18" x14ac:dyDescent="0.45">
      <c r="H68" s="19"/>
    </row>
    <row r="69" spans="3:18" x14ac:dyDescent="0.45">
      <c r="H69" s="19"/>
    </row>
    <row r="70" spans="3:18" x14ac:dyDescent="0.45">
      <c r="H70" s="19"/>
    </row>
    <row r="71" spans="3:18" x14ac:dyDescent="0.45">
      <c r="H71" s="19"/>
    </row>
    <row r="72" spans="3:18" x14ac:dyDescent="0.45">
      <c r="H72" s="19"/>
    </row>
    <row r="73" spans="3:18" x14ac:dyDescent="0.45">
      <c r="H73" s="19"/>
    </row>
    <row r="74" spans="3:18" x14ac:dyDescent="0.45">
      <c r="H74" s="19"/>
    </row>
    <row r="75" spans="3:18" x14ac:dyDescent="0.45">
      <c r="H75" s="19"/>
    </row>
    <row r="76" spans="3:18" x14ac:dyDescent="0.45">
      <c r="H76" s="19"/>
    </row>
    <row r="77" spans="3:18" x14ac:dyDescent="0.45">
      <c r="H77" s="19"/>
    </row>
    <row r="78" spans="3:18" x14ac:dyDescent="0.45">
      <c r="H78" s="19"/>
    </row>
    <row r="79" spans="3:18" x14ac:dyDescent="0.45">
      <c r="H79" s="19"/>
    </row>
    <row r="80" spans="3:18" x14ac:dyDescent="0.45">
      <c r="H80" s="19"/>
    </row>
    <row r="81" spans="8:8" x14ac:dyDescent="0.45">
      <c r="H81" s="19"/>
    </row>
    <row r="82" spans="8:8" x14ac:dyDescent="0.45">
      <c r="H82" s="19"/>
    </row>
    <row r="83" spans="8:8" x14ac:dyDescent="0.45">
      <c r="H83" s="19"/>
    </row>
    <row r="84" spans="8:8" x14ac:dyDescent="0.45">
      <c r="H84" s="19"/>
    </row>
    <row r="85" spans="8:8" x14ac:dyDescent="0.45">
      <c r="H85" s="19"/>
    </row>
    <row r="86" spans="8:8" x14ac:dyDescent="0.45">
      <c r="H86" s="19"/>
    </row>
    <row r="87" spans="8:8" x14ac:dyDescent="0.45">
      <c r="H87" s="19"/>
    </row>
  </sheetData>
  <pageMargins left="0.7" right="0.7" top="0.75" bottom="0.75" header="0.3" footer="0.3"/>
  <pageSetup scale="31" orientation="portrait" r:id="rId1"/>
  <ignoredErrors>
    <ignoredError sqref="F27:F6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Well</vt:lpstr>
      <vt:lpstr>Type_Curve</vt:lpstr>
      <vt:lpstr>B_Factor</vt:lpstr>
      <vt:lpstr>Bbl_to_Mcfe</vt:lpstr>
      <vt:lpstr>D_Factor</vt:lpstr>
      <vt:lpstr>DC_Cost_per_Well</vt:lpstr>
      <vt:lpstr>Discount_Rate</vt:lpstr>
      <vt:lpstr>EUR</vt:lpstr>
      <vt:lpstr>Gas_Pct</vt:lpstr>
      <vt:lpstr>Gas_Price</vt:lpstr>
      <vt:lpstr>IP_Rate</vt:lpstr>
      <vt:lpstr>NGL_Pct</vt:lpstr>
      <vt:lpstr>NGL_Price</vt:lpstr>
      <vt:lpstr>Oil_Pct</vt:lpstr>
      <vt:lpstr>Oil_Price</vt:lpstr>
      <vt:lpstr>Type_Curve!Print_Area</vt:lpstr>
      <vt:lpstr>Well!Print_Area</vt:lpstr>
      <vt:lpstr>qi</vt:lpstr>
      <vt:lpstr>Terminal_Decline</vt:lpstr>
      <vt:lpstr>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BIWS</dc:creator>
  <cp:lastModifiedBy>Brian DeChesare</cp:lastModifiedBy>
  <cp:lastPrinted>2025-03-03T19:21:52Z</cp:lastPrinted>
  <dcterms:created xsi:type="dcterms:W3CDTF">2016-10-28T03:10:17Z</dcterms:created>
  <dcterms:modified xsi:type="dcterms:W3CDTF">2025-07-16T04:00:21Z</dcterms:modified>
</cp:coreProperties>
</file>