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BIWS Dropbox\Brian DeChesare\BIWS-All-Courses\130-PE-Secondary-FoF-Modeling\FOF-01-Mechanics\"/>
    </mc:Choice>
  </mc:AlternateContent>
  <xr:revisionPtr revIDLastSave="0" documentId="13_ncr:1_{3528191E-15C8-4F15-B5CA-D6A57BFDDE94}" xr6:coauthVersionLast="47" xr6:coauthVersionMax="47" xr10:uidLastSave="{00000000-0000-0000-0000-000000000000}"/>
  <bookViews>
    <workbookView xWindow="-110" yWindow="-110" windowWidth="25820" windowHeight="15500" firstSheet="1" activeTab="1" autoFilterDateGrouping="0" xr2:uid="{00000000-000D-0000-FFFF-FFFF00000000}"/>
  </bookViews>
  <sheets>
    <sheet name="Recycling (2)" sheetId="24" state="hidden" r:id="rId1"/>
    <sheet name="GP_Led" sheetId="43" r:id="rId2"/>
    <sheet name="Public_LBO" sheetId="2" state="hidden" r:id="rId3"/>
  </sheets>
  <externalReferences>
    <externalReference r:id="rId4"/>
  </externalReferences>
  <definedNames>
    <definedName name="__123Graph_AGRAPH12" hidden="1">[1]BUND!$E$27:$P$27</definedName>
    <definedName name="__123Graph_BGRAPH12" hidden="1">[1]BUND!$E$28:$P$28</definedName>
    <definedName name="__123Graph_CGRAPH12" hidden="1">[1]BUND!#REF!</definedName>
    <definedName name="_1_" hidden="1">#REF!</definedName>
    <definedName name="_Order1" hidden="1">255</definedName>
    <definedName name="_Order2" hidden="1">255</definedName>
    <definedName name="_Table2_Out" hidden="1">#REF!</definedName>
    <definedName name="_Table3_OUt" hidden="1">#REF!</definedName>
    <definedName name="a" hidden="1">{#N/A,#N/A,FALSE,"Intérêts emprunts C.Epargne";#N/A,#N/A,FALSE,"Intérêts emprunts Cie de Suez";#N/A,#N/A,FALSE,"Intérêts emprunts Stés Groupe";#N/A,#N/A,FALSE,"Intérêts prêts Cie de Suez";#N/A,#N/A,FALSE,"Intérêts prêts Stés Groupe";#N/A,#N/A,FALSE,"Intérêts émiss° ISP BT in fine";#N/A,#N/A,FALSE,"Intérêts émiss°ISP BT pcptés";#N/A,#N/A,FALSE,"Intérêts émiss°CPR BT pcptés";#N/A,#N/A,FALSE,"Intérêts souscription TCN";#N/A,#N/A,FALSE,"Intérêts souscript°MTN mandat";#N/A,#N/A,FALSE,"Intérêts souscript°MTN"}</definedName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ACCOUNT_CHANGE" hidden="1">"ACCOUNT_CHANGE"</definedName>
    <definedName name="ACCOUNTS_PAY" hidden="1">"ACCOUNTS_PAY"</definedName>
    <definedName name="ACCRUED_EXP" hidden="1">"ACCRUED_EXP"</definedName>
    <definedName name="ADD_PAID_IN" hidden="1">"ADD_PAID_IN"</definedName>
    <definedName name="AMORTIZATION" hidden="1">"AMORTIZATION"</definedName>
    <definedName name="AS2DocOpenMode" hidden="1">"AS2DocumentEdit"</definedName>
    <definedName name="ASSET_TURNS" hidden="1">"ASSET_TURNS"</definedName>
    <definedName name="BASIC_EPS_EXCL" hidden="1">"BASIC_EPS_EXCL"</definedName>
    <definedName name="BASIC_EPS_INCL" hidden="1">"BASIC_EPS_INCL"</definedName>
    <definedName name="BASIC_NORMAL_EPS" hidden="1">"BASIC_NORMAL_EPS"</definedName>
    <definedName name="BASIC_WEIGHT" hidden="1">"BASIC_WEIGHT"</definedName>
    <definedName name="BGMRodotecmarkup" hidden="1">#REF!</definedName>
    <definedName name="BOOK_VALUE" hidden="1">"BOOK_VALUE"</definedName>
    <definedName name="BV_OVER_SHARES" hidden="1">"BV_OVER_SHARES"</definedName>
    <definedName name="CAPITAL_EXPEN" hidden="1">"CAPITAL_EXPEN"</definedName>
    <definedName name="CAPITAL_LEASE" hidden="1">"CAPITAL_LEASE"</definedName>
    <definedName name="CASH_DUE_BANKS" hidden="1">"CASH_DUE_BANKS"</definedName>
    <definedName name="CASH_EQUIV" hidden="1">"CASH_EQUIV"</definedName>
    <definedName name="CASH_INTEREST" hidden="1">"CASH_INTEREST"</definedName>
    <definedName name="CASH_ST" hidden="1">"CASH_ST"</definedName>
    <definedName name="CASH_TAXES" hidden="1">"CASH_TAXES"</definedName>
    <definedName name="CHANGES_WORK_CAP" hidden="1">"CHANGES_WORK_CAP"</definedName>
    <definedName name="CIQWBGuid" hidden="1">"Greenbridge hardcoded - v3.xlsx"</definedName>
    <definedName name="CITY" hidden="1">"CITY"</definedName>
    <definedName name="COMMON_STOCK" hidden="1">"COMMON_STOCK"</definedName>
    <definedName name="COMPANY_ADDRESS" hidden="1">"COMPANY_ADDRESS"</definedName>
    <definedName name="COMPANY_NAME" hidden="1">"COMPANY_NAME"</definedName>
    <definedName name="COMPANY_PHONE" hidden="1">"COMPANY_PHONE"</definedName>
    <definedName name="COMPANY_STREET1" hidden="1">"COMPANY_STREET1"</definedName>
    <definedName name="COMPANY_STREET2" hidden="1">"COMPANY_STREET2"</definedName>
    <definedName name="COMPANY_TICKER" hidden="1">"COMPANY_TICKER"</definedName>
    <definedName name="COMPANY_WEBSITE" hidden="1">"COMPANY_WEBSITE"</definedName>
    <definedName name="COMPANY_ZIP" hidden="1">"COMPANY_ZIP"</definedName>
    <definedName name="COST_REVENUE" hidden="1">"COST_REVENUE"</definedName>
    <definedName name="COUNTRY_NAME" hidden="1">"COUNTRY_NAME"</definedName>
    <definedName name="CURRENT_PORT" hidden="1">"CURRENT_PORT"</definedName>
    <definedName name="CURRENT_RATIO" hidden="1">"CURRENT_RATIO"</definedName>
    <definedName name="CV_Carry">GP_Led!$J$10</definedName>
    <definedName name="CV_Exit_Date">GP_Led!$E$14</definedName>
    <definedName name="CV_Txn_Date">GP_Led!$E$13</definedName>
    <definedName name="DAYS_PAY_OUTST" hidden="1">"DAYS_PAY_OUTST"</definedName>
    <definedName name="DAYS_SALES_OUTST" hidden="1">"DAYS_SALES_OUTST"</definedName>
    <definedName name="DEFERRED_INC_TAX" hidden="1">"DEFERRED_INC_TAX"</definedName>
    <definedName name="DEFERRED_TAXES" hidden="1">"DEFERRED_TAXES"</definedName>
    <definedName name="DEPRE_AMORT" hidden="1">"DEPRE_AMORT"</definedName>
    <definedName name="DEPRE_AMORT_SUPPL" hidden="1">"DEPRE_AMORT_SUPPL"</definedName>
    <definedName name="DEPRE_DEPLE" hidden="1">"DEPRE_DEPLE"</definedName>
    <definedName name="DEPRE_SUPP" hidden="1">"DEPRE_SUPP"</definedName>
    <definedName name="DESCRIPTION_LONG" hidden="1">"DESCRIPTION_LONG"</definedName>
    <definedName name="DILUT_ADJUST" hidden="1">"DILUT_ADJUST"</definedName>
    <definedName name="DILUT_EPS_EXCL" hidden="1">"DILUT_EPS_EXCL"</definedName>
    <definedName name="DILUT_EPS_INCL" hidden="1">"DILUT_EPS_INCL"</definedName>
    <definedName name="DILUT_NORMAL_EPS" hidden="1">"DILUT_NORMAL_EPS"</definedName>
    <definedName name="DILUT_WEIGHT" hidden="1">"DILUT_WEIGHT"</definedName>
    <definedName name="DISCONT_OPER" hidden="1">"DISCONT_OPER"</definedName>
    <definedName name="DIVID_SHARE" hidden="1">"DIVID_SHARE"</definedName>
    <definedName name="EBIT" hidden="1">"EBIT"</definedName>
    <definedName name="EBIT_10K" hidden="1">"EBIT_10K"</definedName>
    <definedName name="EBIT_10Q" hidden="1">"EBIT_10Q"</definedName>
    <definedName name="EBIT_10Q1" hidden="1">"EBIT_10Q1"</definedName>
    <definedName name="EBIT_GROWTH_1" hidden="1">"EBIT_GROWTH_1"</definedName>
    <definedName name="EBIT_GROWTH_2" hidden="1">"EBIT_GROWTH_2"</definedName>
    <definedName name="EBIT_MARGIN" hidden="1">"EBIT_MARGIN"</definedName>
    <definedName name="EBIT_OVER_IE" hidden="1">"EBIT_OVER_IE"</definedName>
    <definedName name="EBITDA" hidden="1">"EBITDA"</definedName>
    <definedName name="EBITDA_10K" hidden="1">"EBITDA_10K"</definedName>
    <definedName name="EBITDA_10Q" hidden="1">"EBITDA_10Q"</definedName>
    <definedName name="EBITDA_10Q1" hidden="1">"EBITDA_10Q1"</definedName>
    <definedName name="EBITDA_CAPEX_OVER_TOTAL_IE" hidden="1">"EBITDA_CAPEX_OVER_TOTAL_IE"</definedName>
    <definedName name="EBITDA_GROWTH_1" hidden="1">"EBITDA_GROWTH_1"</definedName>
    <definedName name="EBITDA_GROWTH_2" hidden="1">"EBITDA_GROWTH_2"</definedName>
    <definedName name="EBITDA_MARGIN" hidden="1">"EBITDA_MARGIN"</definedName>
    <definedName name="EBITDA_OVER_TOTAL_IE" hidden="1">"EBITDA_OVER_TOTAL_IE"</definedName>
    <definedName name="EFFECT_SPECIAL_CHARGE" hidden="1">"EFFECT_SPECIAL_CHARGE"</definedName>
    <definedName name="EMPLOYEES" hidden="1">"EMPLOYEES"</definedName>
    <definedName name="english" hidden="1">{#N/A,#N/A,FALSE,"Intérêts emprunts C.Epargne";#N/A,#N/A,FALSE,"Intérêts emprunts Cie de Suez";#N/A,#N/A,FALSE,"Intérêts emprunts Stés Groupe";#N/A,#N/A,FALSE,"Intérêts prêts Cie de Suez";#N/A,#N/A,FALSE,"Intérêts prêts Stés Groupe";#N/A,#N/A,FALSE,"Intérêts émiss° ISP BT in fine";#N/A,#N/A,FALSE,"Intérêts émiss°ISP BT pcptés";#N/A,#N/A,FALSE,"Intérêts émiss°CPR BT pcptés";#N/A,#N/A,FALSE,"Intérêts souscription TCN";#N/A,#N/A,FALSE,"Intérêts souscript°MTN mandat";#N/A,#N/A,FALSE,"Intérêts souscript°MTN"}</definedName>
    <definedName name="EPS" hidden="1">"EPS"</definedName>
    <definedName name="EPS_10K" hidden="1">"EPS_10K"</definedName>
    <definedName name="EPS_10Q" hidden="1">"EPS_10Q"</definedName>
    <definedName name="EPS_10Q1" hidden="1">"EPS_10Q1"</definedName>
    <definedName name="EPS_EST" hidden="1">"EPS_EST"</definedName>
    <definedName name="EPS_EST_1" hidden="1">"EPS_EST_1"</definedName>
    <definedName name="EQUITY_AFFIL" hidden="1">"EQUITY_AFFIL"</definedName>
    <definedName name="EQUITY_MARKET_VAL" hidden="1">"EQUITY_MARKET_VAL"</definedName>
    <definedName name="EQV_OVER_BV" hidden="1">"EQV_OVER_BV"</definedName>
    <definedName name="EQV_OVER_LTM_PRETAX_INC" hidden="1">"EQV_OVER_LTM_PRETAX_INC"</definedName>
    <definedName name="ESOP_DEBT" hidden="1">"ESOP_DEBT"</definedName>
    <definedName name="EV_OVER_EMPLOYEE" hidden="1">"EV_OVER_EMPLOYEE"</definedName>
    <definedName name="EV_OVER_LTM_EBIT" hidden="1">"EV_OVER_LTM_EBIT"</definedName>
    <definedName name="EV_OVER_LTM_EBITDA" hidden="1">"EV_OVER_LTM_EBITDA"</definedName>
    <definedName name="EV_OVER_LTM_REVENUE" hidden="1">"EV_OVER_LTM_REVENUE"</definedName>
    <definedName name="EV_OVER_REVENUE_EST" hidden="1">"EV_OVER_REVENUE_EST"</definedName>
    <definedName name="EV_OVER_REVENUE_EST_1" hidden="1">"EV_OVER_REVENUE_EST_1"</definedName>
    <definedName name="EXCHANGE" hidden="1">"EXCHANGE"</definedName>
    <definedName name="EXTRA_ITEMS" hidden="1">"EXTRA_ITEMS"</definedName>
    <definedName name="FINANCING_CASH" hidden="1">"FINANCING_CASH"</definedName>
    <definedName name="FOREIGN_EXCHANGE" hidden="1">"FOREIGN_EXCHANGE"</definedName>
    <definedName name="Fund_Size" localSheetId="0">'Recycling (2)'!#REF!</definedName>
    <definedName name="Fund_Term" localSheetId="0">'Recycling (2)'!#REF!</definedName>
    <definedName name="FY_DATE" hidden="1">"FY_DATE"</definedName>
    <definedName name="GAIN_SALE_ASSETS" hidden="1">"GAIN_SALE_ASSETS"</definedName>
    <definedName name="GOODWILL_NET" hidden="1">"GOODWILL_NET"</definedName>
    <definedName name="GP_Carried_Interest" localSheetId="0">'Recycling (2)'!#REF!</definedName>
    <definedName name="GP_Carry_Roll">GP_Led!$D$47</definedName>
    <definedName name="GROSS_DIVID" hidden="1">"GROSS_DIVID"</definedName>
    <definedName name="GROSS_MARGIN" hidden="1">"GROSS_MARGIN"</definedName>
    <definedName name="GROSS_PROFIT" hidden="1">"GROSS_PROFIT"</definedName>
    <definedName name="HIGHPRICE" hidden="1">"HIGHPRICE"</definedName>
    <definedName name="Hurdle" localSheetId="0">'Recycling (2)'!#REF!</definedName>
    <definedName name="INC_AFTER_TAX" hidden="1">"INC_AFTER_TAX"</definedName>
    <definedName name="INC_AVAIL_EXCL" hidden="1">"INC_AVAIL_EXCL"</definedName>
    <definedName name="INC_AVAIL_INCL" hidden="1">"INC_AVAIL_INCL"</definedName>
    <definedName name="INC_BEFORE_TAX" hidden="1">"INC_BEFORE_TAX"</definedName>
    <definedName name="INC_TAX" hidden="1">"INC_TAX"</definedName>
    <definedName name="INC_TAX_EXCL" hidden="1">"INC_TAX_EXCL"</definedName>
    <definedName name="Inception" localSheetId="0">'Recycling (2)'!#REF!</definedName>
    <definedName name="Initial_Multiple">GP_Led!$J$12</definedName>
    <definedName name="INTANGIBLES_NET" hidden="1">"INTANGIBLES_NET"</definedName>
    <definedName name="INTEREST_EXP_NET" hidden="1">"INTEREST_EXP_NET"</definedName>
    <definedName name="INTEREST_EXP_NON" hidden="1">"INTEREST_EXP_NON"</definedName>
    <definedName name="INTEREST_EXP_SUPPL" hidden="1">"INTEREST_EXP_SUPPL"</definedName>
    <definedName name="INTEREST_INC" hidden="1">"INTEREST_INC"</definedName>
    <definedName name="INTEREST_INC_10K" hidden="1">"INTEREST_INC_10K"</definedName>
    <definedName name="INTEREST_INC_10Q" hidden="1">"INTEREST_INC_10Q"</definedName>
    <definedName name="INTEREST_INC_10Q1" hidden="1">"INTEREST_INC_10Q1"</definedName>
    <definedName name="INTEREST_INC_NON" hidden="1">"INTEREST_INC_NON"</definedName>
    <definedName name="Interest_Rate">GP_Led!$E$16</definedName>
    <definedName name="INVENTORY_TURNS" hidden="1">"INVENTORY_TURNS"</definedName>
    <definedName name="Investment_End" localSheetId="0">'Recycling (2)'!#REF!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QUIRED_BY_REPORTING_BANK_FDIC" hidden="1">"c6535"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E_BR" hidden="1">"c10"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MENDED_BALANCE_PREVIOUS_YR_FDIC" hidden="1">"c6499"</definedName>
    <definedName name="IQ_AMORT_EXPENSE_FDIC" hidden="1">"c6677"</definedName>
    <definedName name="IQ_AMORTIZED_COST_FDIC" hidden="1">"c6426"</definedName>
    <definedName name="IQ_AP_BR" hidden="1">"c34"</definedName>
    <definedName name="IQ_AR_BR" hidden="1">"c41"</definedName>
    <definedName name="IQ_ASSET_BACKED_FDIC" hidden="1">"c6301"</definedName>
    <definedName name="IQ_ASSET_WRITEDOWN_BR" hidden="1">"c50"</definedName>
    <definedName name="IQ_ASSET_WRITEDOWN_CF_BR" hidden="1">"c53"</definedName>
    <definedName name="IQ_ASSETS_HELD_FDIC" hidden="1">"c6305"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ROKER_REC_NO_REUT" hidden="1">"c5315"</definedName>
    <definedName name="IQ_AVG_BROKER_REC_REUT" hidden="1">"c3630"</definedName>
    <definedName name="IQ_AVG_PRICE_TARGET" hidden="1">"c82"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CAPEX_BR" hidden="1">"c111"</definedName>
    <definedName name="IQ_CASH_DIVIDENDS_NET_INCOME_FDIC" hidden="1">"c6738"</definedName>
    <definedName name="IQ_CASH_IN_PROCESS_FDIC" hidden="1">"c6386"</definedName>
    <definedName name="IQ_CCE_FDIC" hidden="1">"c6296"</definedName>
    <definedName name="IQ_CH" hidden="1">110000</definedName>
    <definedName name="IQ_CHANGE_AP_BR" hidden="1">"c135"</definedName>
    <definedName name="IQ_CHANGE_AR_BR" hidden="1">"c142"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OTHER_NET_OPER_ASSETS_BR" hidden="1">"c3595"</definedName>
    <definedName name="IQ_CHANGE_OTHER_WORK_CAP_BR" hidden="1">"c154"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MO_FDIC" hidden="1">"c6406"</definedName>
    <definedName name="IQ_COLLECTION_DOMESTIC_FDIC" hidden="1">"c6387"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_APIC_BR" hidden="1">"c185"</definedName>
    <definedName name="IQ_COMMON_FDIC" hidden="1">"c6350"</definedName>
    <definedName name="IQ_COMMON_ISSUED_BR" hidden="1">"c199"</definedName>
    <definedName name="IQ_COMMON_REP_BR" hidden="1">"c208"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TRACTS_OTHER_COMMODITIES_EQUITIES._FDIC" hidden="1">"c6522"</definedName>
    <definedName name="IQ_CONTRACTS_OTHER_COMMODITIES_EQUITIES_FDIC" hidden="1">"c6522"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OF_FUNDING_ASSETS_FDIC" hidden="1">"c6725"</definedName>
    <definedName name="IQ_CQ" hidden="1">5000</definedName>
    <definedName name="IQ_CREDIT_CARD_CHARGE_OFFS_FDIC" hidden="1">"c6652"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PROVISION_NET_CHARGE_OFFS_FDIC" hidden="1">"c6734"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ENCY_COIN_DOMESTIC_FDIC" hidden="1">"c6388"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RIVATIVES_FDIC" hidden="1">"c6523"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EARNING_ASSETS_FDIC" hidden="1">"c6360"</definedName>
    <definedName name="IQ_EARNING_ASSETS_YIELD_FDIC" hidden="1">"c6724"</definedName>
    <definedName name="IQ_EARNINGS_ANNOUNCE_DATE_REUT" hidden="1">"c5314"</definedName>
    <definedName name="IQ_EARNINGS_COVERAGE_NET_CHARGE_OFFS_FDIC" hidden="1">"c6735"</definedName>
    <definedName name="IQ_EBITDA_EST_REUT" hidden="1">"c3640"</definedName>
    <definedName name="IQ_EBITDA_HIGH_EST_REUT" hidden="1">"c3642"</definedName>
    <definedName name="IQ_EBITDA_LOW_EST_REUT" hidden="1">"c3643"</definedName>
    <definedName name="IQ_EBITDA_MEDIAN_EST_REUT" hidden="1">"c3641"</definedName>
    <definedName name="IQ_EBITDA_NUM_EST_REUT" hidden="1">"c3644"</definedName>
    <definedName name="IQ_EBITDA_STDDEV_EST_REUT" hidden="1">"c3645"</definedName>
    <definedName name="IQ_EBT_BR" hidden="1">"c378"</definedName>
    <definedName name="IQ_EBT_EXCL_BR" hidden="1">"c381"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ICIENCY_RATIO_FDIC" hidden="1">"c6736"</definedName>
    <definedName name="IQ_EPS" hidden="1">"IQ_EPS"</definedName>
    <definedName name="IQ_EPS_EST_REUT" hidden="1">"c5453"</definedName>
    <definedName name="IQ_EPS_HIGH_EST_REUT" hidden="1">"c5454"</definedName>
    <definedName name="IQ_EPS_LOW_EST_REUT" hidden="1">"c5455"</definedName>
    <definedName name="IQ_EPS_MEDIAN_EST_REUT" hidden="1">"c5456"</definedName>
    <definedName name="IQ_EPS_NUM_EST_REUT" hidden="1">"c5451"</definedName>
    <definedName name="IQ_EPS_STDDEV_EST_REUT" hidden="1">"c5452"</definedName>
    <definedName name="IQ_EQUITY_CAPITAL_ASSETS_FDIC" hidden="1">"c6744"</definedName>
    <definedName name="IQ_EQUITY_FDIC" hidden="1">"c6353"</definedName>
    <definedName name="IQ_EQUITY_SECURITIES_FDIC" hidden="1">"c6304"</definedName>
    <definedName name="IQ_EQUITY_SECURITY_EXPOSURES_FDIC" hidden="1">"c6664"</definedName>
    <definedName name="IQ_EST_CURRENCY_REUT" hidden="1">"c5437"</definedName>
    <definedName name="IQ_EST_DATE_REUT" hidden="1">"c5438"</definedName>
    <definedName name="IQ_EST_EPS_GROWTH_1YR_REUT" hidden="1">"c3646"</definedName>
    <definedName name="IQ_EST_EPS_GROWTH_5YR_REUT" hidden="1">"c3633"</definedName>
    <definedName name="IQ_EST_EPS_GROWTH_Q_1YR_REUT" hidden="1">"c5410"</definedName>
    <definedName name="IQ_ESTIMATED_ASSESSABLE_DEPOSITS_FDIC" hidden="1">"c6490"</definedName>
    <definedName name="IQ_ESTIMATED_INSURED_DEPOSITS_FDIC" hidden="1">"c6491"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_BR" hidden="1">"c412"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ED_FUNDS_PURCHASED_FDIC" hidden="1">"c6343"</definedName>
    <definedName name="IQ_FED_FUNDS_SOLD_FDIC" hidden="1">"c6307"</definedName>
    <definedName name="IQ_FH" hidden="1">100000</definedName>
    <definedName name="IQ_FHLB_ADVANCES_FDIC" hidden="1">"c6366"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N_DIV_CURRENT_PORT_DEBT_TOTAL" hidden="1">"c5524"</definedName>
    <definedName name="IQ_FIN_DIV_CURRENT_PORT_LEASES_TOTAL" hidden="1">"c5523"</definedName>
    <definedName name="IQ_FIN_DIV_DEBT_LT_TOTAL" hidden="1">"c5526"</definedName>
    <definedName name="IQ_FIN_DIV_LEASES_LT_TOTAL" hidden="1">"c5525"</definedName>
    <definedName name="IQ_FIN_DIV_NOTES_PAY_TOTAL" hidden="1">"c5522"</definedName>
    <definedName name="IQ_FIVE_YEAR_FIXED_AND_FLOATING_RATE_FDIC" hidden="1">"c6422"</definedName>
    <definedName name="IQ_FIVE_YEAR_MORTGAGE_PASS_THROUGHS_FDIC" hidden="1">"c6414"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OSITS_NONTRANSACTION_ACCOUNTS_FDIC" hidden="1">"c6549"</definedName>
    <definedName name="IQ_FOREIGN_DEPOSITS_TRANSACTION_ACCOUNTS_FDIC" hidden="1">"c6541"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Q" hidden="1">500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_CONTRACTS_FDIC" hidden="1">"c6517"</definedName>
    <definedName name="IQ_FX_CONTRACTS_SPOT_FDIC" hidden="1">"c6356"</definedName>
    <definedName name="IQ_FY" hidden="1">1000</definedName>
    <definedName name="IQ_FY_DATE" hidden="1">"IQ_FY_DATE"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W_AMORT_BR" hidden="1">"c532"</definedName>
    <definedName name="IQ_GW_INTAN_AMORT_BR" hidden="1">"c1470"</definedName>
    <definedName name="IQ_GW_INTAN_AMORT_CF_BR" hidden="1">"c1473"</definedName>
    <definedName name="IQ_HELD_MATURITY_FDIC" hidden="1">"c6408"</definedName>
    <definedName name="IQ_HIGH_TARGET_PRICE_REUT" hidden="1">"c5317"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NC_EQUITY_BR" hidden="1">"c550"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SETTLE_BR" hidden="1">"c572"</definedName>
    <definedName name="IQ_INSIDER_LOANS_FDIC" hidden="1">"c6365"</definedName>
    <definedName name="IQ_INSTITUTIONS_EARNINGS_GAINS_FDIC" hidden="1">"c6723"</definedName>
    <definedName name="IQ_INSURANCE_COMMISSION_FEES_FDIC" hidden="1">"c6670"</definedName>
    <definedName name="IQ_INSURANCE_UNDERWRITING_INCOME_FDIC" hidden="1">"c6671"</definedName>
    <definedName name="IQ_INT_DEMAND_NOTES_FDIC" hidden="1">"c6567"</definedName>
    <definedName name="IQ_INT_DOMESTIC_DEPOSITS_FDIC" hidden="1">"c6564"</definedName>
    <definedName name="IQ_INT_EXP_BR" hidden="1">"c586"</definedName>
    <definedName name="IQ_INT_EXP_TOTAL_FDIC" hidden="1">"c6569"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OREIGN_LOANS_FDIC" hidden="1">"c6556"</definedName>
    <definedName name="IQ_INT_INC_LEASE_RECEIVABLES_FDIC" hidden="1">"c6557"</definedName>
    <definedName name="IQ_INT_INC_OTHER_FDIC" hidden="1">"c6562"</definedName>
    <definedName name="IQ_INT_INC_SECURITIES_FDIC" hidden="1">"c6559"</definedName>
    <definedName name="IQ_INT_INC_TOTAL_FDIC" hidden="1">"c6563"</definedName>
    <definedName name="IQ_INT_INC_TRADING_ACCOUNTS_FDIC" hidden="1">"c6560"</definedName>
    <definedName name="IQ_INT_SUB_NOTES_FDIC" hidden="1">"c6568"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RATE_CONTRACTS_FDIC" hidden="1">"c6512"</definedName>
    <definedName name="IQ_INTEREST_RATE_EXPOSURES_FDIC" hidden="1">"c6662"</definedName>
    <definedName name="IQ_INVEST_LOANS_CF_BR" hidden="1">"c630"</definedName>
    <definedName name="IQ_INVEST_SECURITY_CF_BR" hidden="1">"c639"</definedName>
    <definedName name="IQ_INVESTMENT_BANKING_OTHER_FEES_FDIC" hidden="1">"c6666"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UED_GUARANTEED_US_FDIC" hidden="1">"c6404"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_BR" hidden="1">"c649"</definedName>
    <definedName name="IQ_LIFE_INSURANCE_ASSETS_FDIC" hidden="1">"c6372"</definedName>
    <definedName name="IQ_LOAN_COMMITMENTS_REVOLVING_FDIC" hidden="1">"c6524"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S_AND_LEASES_HELD_FDIC" hidden="1">"c6367"</definedName>
    <definedName name="IQ_LOANS_CF_BR" hidden="1">"c661"</definedName>
    <definedName name="IQ_LOANS_DEPOSITORY_INSTITUTIONS_FDIC" hidden="1">"c6382"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SS_ALLOWANCE_LOANS_FDIC" hidden="1">"c6739"</definedName>
    <definedName name="IQ_LOW_TARGET_PRICE_REUT" hidden="1">"c5318"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_DATE" hidden="1">"IQ_LTM_DATE"</definedName>
    <definedName name="IQ_LTMMONTH" hidden="1">120000</definedName>
    <definedName name="IQ_MATURITY_ONE_YEAR_LESS_FDIC" hidden="1">"c6425"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_REUT" hidden="1">"c5316"</definedName>
    <definedName name="IQ_MERGER_BR" hidden="1">"c715"</definedName>
    <definedName name="IQ_MERGER_RESTRUCTURE_BR" hidden="1">"c721"</definedName>
    <definedName name="IQ_MINORITY_INTEREST_BR" hidden="1">"c729"</definedName>
    <definedName name="IQ_MKTCAP_TOTAL_REV_FWD_REUT" hidden="1">"c4048"</definedName>
    <definedName name="IQ_MONEY_MARKET_DEPOSIT_ACCOUNTS_FDIC" hidden="1">"c6553"</definedName>
    <definedName name="IQ_MONTH" hidden="1">15000</definedName>
    <definedName name="IQ_MORTGAGE_BACKED_SECURITIES_FDIC" hidden="1">"c6402"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41248.6266435185</definedName>
    <definedName name="IQ_NET_CHARGE_OFFS_FDIC" hidden="1">"c6641"</definedName>
    <definedName name="IQ_NET_CHARGE_OFFS_LOANS_FDIC" hidden="1">"c6751"</definedName>
    <definedName name="IQ_NET_DEBT_ISSUED_BR" hidden="1">"c753"</definedName>
    <definedName name="IQ_NET_INCOME_FDIC" hidden="1">"c6587"</definedName>
    <definedName name="IQ_NET_INT_INC_BNK_FDIC" hidden="1">"c6570"</definedName>
    <definedName name="IQ_NET_INT_INC_BR" hidden="1">"c765"</definedName>
    <definedName name="IQ_NET_INTEREST_MARGIN_FDIC" hidden="1">"c6726"</definedName>
    <definedName name="IQ_NET_LOANS_LEASES_CORE_DEPOSITS_FDIC" hidden="1">"c6743"</definedName>
    <definedName name="IQ_NET_LOANS_LEASES_DEPOSITS_FDIC" hidden="1">"c6742"</definedName>
    <definedName name="IQ_NET_OPERATING_INCOME_ASSETS_FDIC" hidden="1">"c6729"</definedName>
    <definedName name="IQ_NET_SECURITIZATION_INCOME_FDIC" hidden="1">"c6669"</definedName>
    <definedName name="IQ_NET_SERVICING_FEES_FDIC" hidden="1">"c6668"</definedName>
    <definedName name="IQ_NON_INT_EXP_FDIC" hidden="1">"c6579"</definedName>
    <definedName name="IQ_NON_INT_INC_FDIC" hidden="1">"c6575"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TM" hidden="1">6000</definedName>
    <definedName name="IQ_NUMBER_DEPOSITS_LESS_THAN_100K_FDIC" hidden="1">"c6495"</definedName>
    <definedName name="IQ_NUMBER_DEPOSITS_MORE_THAN_100K_FDIC" hidden="1">"c6493"</definedName>
    <definedName name="IQ_OBLIGATIONS_OF_STATES_TOTAL_LOANS_FOREIGN_FDIC" hidden="1">"c6447"</definedName>
    <definedName name="IQ_OBLIGATIONS_STATES_FDIC" hidden="1">"c6431"</definedName>
    <definedName name="IQ_OG_TOTAL_OIL_PRODUCTON" hidden="1">"c2059"</definedName>
    <definedName name="IQ_OPER_INC_BR" hidden="1">"c850"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MORT_BR" hidden="1">"c5566"</definedName>
    <definedName name="IQ_OTHER_ASSETS_BR" hidden="1">"c862"</definedName>
    <definedName name="IQ_OTHER_ASSETS_FDIC" hidden="1">"c6338"</definedName>
    <definedName name="IQ_OTHER_BORROWED_FUNDS_FDIC" hidden="1">"c6345"</definedName>
    <definedName name="IQ_OTHER_CA_SUPPL_BR" hidden="1">"c871"</definedName>
    <definedName name="IQ_OTHER_CL_SUPPL_BR" hidden="1">"c880"</definedName>
    <definedName name="IQ_OTHER_COMPREHENSIVE_INCOME_FDIC" hidden="1">"c6503"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SURANCE_FEES_FDIC" hidden="1">"c6672"</definedName>
    <definedName name="IQ_OTHER_INTAN_BR" hidden="1">"c909"</definedName>
    <definedName name="IQ_OTHER_INTANGIBLE_FDIC" hidden="1">"c6337"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IABILITIES_FDIC" hidden="1">"c6347"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T_ASSETS_BR" hidden="1">"c948"</definedName>
    <definedName name="IQ_OTHER_NON_INT_EXP_FDIC" hidden="1">"c6578"</definedName>
    <definedName name="IQ_OTHER_NON_INT_EXPENSE_FDIC" hidden="1">"c6679"</definedName>
    <definedName name="IQ_OTHER_NON_INT_INC_FDIC" hidden="1">"c6676"</definedName>
    <definedName name="IQ_OTHER_NON_OPER_EXP_BR" hidden="1">"c957"</definedName>
    <definedName name="IQ_OTHER_NON_OPER_EXP_SUPPL_BR" hidden="1">"c962"</definedName>
    <definedName name="IQ_OTHER_OFF_BS_LIAB_FDIC" hidden="1">"c6533"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_OWNED_FDIC" hidden="1">"c6330"</definedName>
    <definedName name="IQ_OTHER_REV_BR" hidden="1">"c1011"</definedName>
    <definedName name="IQ_OTHER_REV_SUPPL_BR" hidden="1">"c1016"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_BR" hidden="1">"c1561"</definedName>
    <definedName name="IQ_OTHER_UNUSUAL_SUPPL_BR" hidden="1">"c1496"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C_WRITTEN" hidden="1">"c1027"</definedName>
    <definedName name="IQ_PE_EXCL_FWD_REUT" hidden="1">"c4049"</definedName>
    <definedName name="IQ_PEG_FWD_REUT" hidden="1">"c4052"</definedName>
    <definedName name="IQ_PERCENT_INSURED_FDIC" hidden="1">"c6374"</definedName>
    <definedName name="IQ_PLEDGED_SECURITIES_FDIC" hidden="1">"c6401"</definedName>
    <definedName name="IQ_PRE_TAX_INCOME_FDIC" hidden="1">"c6581"</definedName>
    <definedName name="IQ_PREF_ISSUED_BR" hidden="1">"c1047"</definedName>
    <definedName name="IQ_PREF_OTHER_BR" hidden="1">"c1055"</definedName>
    <definedName name="IQ_PREF_REP_BR" hidden="1">"c1062"</definedName>
    <definedName name="IQ_PREFERRED_FDIC" hidden="1">"c6349"</definedName>
    <definedName name="IQ_PREMISES_EQUIPMENT_FDIC" hidden="1">"c6577"</definedName>
    <definedName name="IQ_PRETAX_RETURN_ASSETS_FDIC" hidden="1">"c6731"</definedName>
    <definedName name="IQ_PRICE_TARGET_REUT" hidden="1">"c3631"</definedName>
    <definedName name="IQ_PRICEDATETIME" hidden="1">"IQ_PRICEDATETIME"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QTD" hidden="1">750000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LATED_PLANS_FDIC" hidden="1">"c6320"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IDENTIAL_LOANS" hidden="1">"c1102"</definedName>
    <definedName name="IQ_RESTATEMENTS_NET_FDIC" hidden="1">"c6500"</definedName>
    <definedName name="IQ_RESTRUCTURE_BR" hidden="1">"c1106"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INGS_AVERAGE_EQUITY_FDIC" hidden="1">"c6733"</definedName>
    <definedName name="IQ_RETURN_ASSETS_BROK" hidden="1">"c1115"</definedName>
    <definedName name="IQ_RETURN_ASSETS_FDIC" hidden="1">"c6730"</definedName>
    <definedName name="IQ_RETURN_EQUITY_BROK" hidden="1">"c1120"</definedName>
    <definedName name="IQ_RETURN_EQUITY_FDIC" hidden="1">"c6732"</definedName>
    <definedName name="IQ_REV_STDDEV_EST_REUT" hidden="1">"c3639"</definedName>
    <definedName name="IQ_REVALUATION_GAINS_FDIC" hidden="1">"c6428"</definedName>
    <definedName name="IQ_REVALUATION_LOSSES_FDIC" hidden="1">"c6429"</definedName>
    <definedName name="IQ_REVENUE_EST_REUT" hidden="1">"c3634"</definedName>
    <definedName name="IQ_REVENUE_HIGH_EST_REUT" hidden="1">"c3636"</definedName>
    <definedName name="IQ_REVENUE_LOW_EST_REUT" hidden="1">"c3637"</definedName>
    <definedName name="IQ_REVENUE_MEDIAN_EST_REUT" hidden="1">"c3635"</definedName>
    <definedName name="IQ_REVENUE_NUM_EST_REUT" hidden="1">"c3638"</definedName>
    <definedName name="IQ_RISK_WEIGHTED_ASSETS_FDIC" hidden="1">"c6370"</definedName>
    <definedName name="IQ_SALARY_FDIC" hidden="1">"c6576"</definedName>
    <definedName name="IQ_SALE_CONVERSION_RETIREMENT_STOCK_FDIC" hidden="1">"c6661"</definedName>
    <definedName name="IQ_SALE_INTAN_CF_BR" hidden="1">"c1133"</definedName>
    <definedName name="IQ_SALE_PPE_CF_BR" hidden="1">"c1139"</definedName>
    <definedName name="IQ_SALE_REAL_ESTATE_CF_BR" hidden="1">"c1145"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RVICE_CHARGES_FDIC" hidden="1">"c6572"</definedName>
    <definedName name="IQ_SHAREOUTSTANDING" hidden="1">"c1347"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UB_DEBT_FDIC" hidden="1">"c6346"</definedName>
    <definedName name="IQ_SURPLUS_FDIC" hidden="1">"c6351"</definedName>
    <definedName name="IQ_TARGET_PRICE_NUM_REUT" hidden="1">"c5319"</definedName>
    <definedName name="IQ_TARGET_PRICE_STDDEV_REUT" hidden="1">"c5320"</definedName>
    <definedName name="IQ_TEV_EBITDA_FWD_REUT" hidden="1">"c4050"</definedName>
    <definedName name="IQ_TEV_TOTAL_REV_FWD_REUT" hidden="1">"c4051"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AL_AR_BR" hidden="1">"c1231"</definedName>
    <definedName name="IQ_TOTAL_ASSETS_FDIC" hidden="1">"c6339"</definedName>
    <definedName name="IQ_TOTAL_CHARGE_OFFS_FDIC" hidden="1">"c6603"</definedName>
    <definedName name="IQ_TOTAL_DEBT_ISSUED_BR" hidden="1">"c1253"</definedName>
    <definedName name="IQ_TOTAL_DEBT_REPAID_BR" hidden="1">"c1260"</definedName>
    <definedName name="IQ_TOTAL_DEBT_SECURITIES_FDIC" hidden="1">"c6410"</definedName>
    <definedName name="IQ_TOTAL_DEPOSITS_FDIC" hidden="1">"c6342"</definedName>
    <definedName name="IQ_TOTAL_EMPLOYEES_FDIC" hidden="1">"c6355"</definedName>
    <definedName name="IQ_TOTAL_LIAB_BR" hidden="1">"c1278"</definedName>
    <definedName name="IQ_TOTAL_LIAB_EQUITY_FDIC" hidden="1">"c6354"</definedName>
    <definedName name="IQ_TOTAL_LIABILITIES_FDIC" hidden="1">"c6348"</definedName>
    <definedName name="IQ_TOTAL_OPER_EXP_BR" hidden="1">"c1284"</definedName>
    <definedName name="IQ_TOTAL_PENSION_OBLIGATION" hidden="1">"c1292"</definedName>
    <definedName name="IQ_TOTAL_RECOVERIES_FDIC" hidden="1">"c6622"</definedName>
    <definedName name="IQ_TOTAL_REV_BNK_FDIC" hidden="1">"c6786"</definedName>
    <definedName name="IQ_TOTAL_REV_BR" hidden="1">"c1303"</definedName>
    <definedName name="IQ_TOTAL_RISK_BASED_CAPITAL_RATIO_FDIC" hidden="1">"c6747"</definedName>
    <definedName name="IQ_TOTAL_SECURITIES_FDIC" hidden="1">"c6306"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_BR" hidden="1">"c5517"</definedName>
    <definedName name="IQ_TRADING_ACCOUNT_GAINS_FEES_FDIC" hidden="1">"c6573"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_OTHER_EQUITY_BR" hidden="1">"c1314"</definedName>
    <definedName name="IQ_TREASURY_STOCK_TRANSACTIONS_FDIC" hidden="1">"c6501"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REV_CURRENT_BR" hidden="1">"c1324"</definedName>
    <definedName name="IQ_UNEARNED_INCOME_FDIC" hidden="1">"c6324"</definedName>
    <definedName name="IQ_UNEARNED_INCOME_FOREIGN_FDIC" hidden="1">"c6385"</definedName>
    <definedName name="IQ_UNPROFITABLE_INSTITUTIONS_FDIC" hidden="1">"c6722"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VALUATION_ALLOWANCES_FDIC" hidden="1">"c6400"</definedName>
    <definedName name="IQ_VC_REVENUE_FDIC" hidden="1">"c6667"</definedName>
    <definedName name="IQ_VOLATILE_LIABILITIES_FDIC" hidden="1">"c6364"</definedName>
    <definedName name="IQ_WEEK" hidden="1">50000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TD" hidden="1">3000</definedName>
    <definedName name="IQ_YTDMONTH" hidden="1">130000</definedName>
    <definedName name="ISS_DEBT_NET" hidden="1">"ISS_DEBT_NET"</definedName>
    <definedName name="ISS_STOCK_NET" hidden="1">"ISS_STOCK_NET"</definedName>
    <definedName name="LAST_EBIT_MARGIN" hidden="1">"LAST_EBIT_MARGIN"</definedName>
    <definedName name="LAST_EBITDA_MARGIN" hidden="1">"LAST_EBITDA_MARGIN"</definedName>
    <definedName name="LAST_GROSS_MARGIN" hidden="1">"LAST_GROSS_MARGIN"</definedName>
    <definedName name="LAST_NET_INC_MARGIN" hidden="1">"LAST_NET_INC_MARGIN"</definedName>
    <definedName name="LASTSALEPRICE" hidden="1">"LASTSALEPRICE"</definedName>
    <definedName name="LATESTK" hidden="1">1000</definedName>
    <definedName name="LATESTKNONPRESS" hidden="1">50</definedName>
    <definedName name="LATESTQ" hidden="1">500</definedName>
    <definedName name="LATESTQNONPRESS" hidden="1">100</definedName>
    <definedName name="LOAN_LOSS" hidden="1">"LOAN_LOSS"</definedName>
    <definedName name="LONG_TERM_DEBT" hidden="1">"LONG_TERM_DEBT"</definedName>
    <definedName name="LONG_TERM_GROWTH" hidden="1">"LONG_TERM_GROWTH"</definedName>
    <definedName name="LONG_TERM_INV" hidden="1">"LONG_TERM_INV"</definedName>
    <definedName name="LOWPRICE" hidden="1">"LOWPRICE"</definedName>
    <definedName name="LP_Commitment" localSheetId="0">'Recycling (2)'!#REF!</definedName>
    <definedName name="LTM_DATE" hidden="1">"LTM_DATE"</definedName>
    <definedName name="LTM_EBITDA" localSheetId="0">'Recycling (2)'!#REF!</definedName>
    <definedName name="LTM_EBITDA">GP_Led!$E$22</definedName>
    <definedName name="LTM_REVENUE_OVER_EMPLOYEES" hidden="1">"LTM_REVENUE_OVER_EMPLOYEES"</definedName>
    <definedName name="Management_Fee_After" localSheetId="0">'Recycling (2)'!#REF!</definedName>
    <definedName name="Management_Fee_Investment" localSheetId="0">'Recycling (2)'!#REF!</definedName>
    <definedName name="MARKETCAP" hidden="1">"MARKETCAP"</definedName>
    <definedName name="MINORITY_INTEREST" hidden="1">"MINORITY_INTEREST"</definedName>
    <definedName name="MISC_EARN_ADJ" hidden="1">"MISC_EARN_ADJ"</definedName>
    <definedName name="MLNK5b3fa146f2f440e8aaab101f6f209e0c" hidden="1">#REF!</definedName>
    <definedName name="MLNKd309fcb279d24acaa438eb717f4a6c70" hidden="1">#REF!</definedName>
    <definedName name="Months" localSheetId="0">'Recycling (2)'!#REF!</definedName>
    <definedName name="Multiple_Increment">GP_Led!$J$13</definedName>
    <definedName name="NET_CHANGE" hidden="1">"NET_CHANGE"</definedName>
    <definedName name="NET_DEBT" hidden="1">"NET_DEBT"</definedName>
    <definedName name="NET_INC" hidden="1">"NET_INC"</definedName>
    <definedName name="NET_INC_10K" hidden="1">"NET_INC_10K"</definedName>
    <definedName name="NET_INC_10Q" hidden="1">"NET_INC_10Q"</definedName>
    <definedName name="NET_INC_10Q1" hidden="1">"NET_INC_10Q1"</definedName>
    <definedName name="NET_INC_BEFORE" hidden="1">"NET_INC_BEFORE"</definedName>
    <definedName name="NET_INC_GROWTH_1" hidden="1">"NET_INC_GROWTH_1"</definedName>
    <definedName name="NET_INC_GROWTH_2" hidden="1">"NET_INC_GROWTH_2"</definedName>
    <definedName name="NET_INC_MARGIN" hidden="1">"NET_INC_MARGIN"</definedName>
    <definedName name="NET_INTEREST_INC" hidden="1">"NET_INTEREST_INC"</definedName>
    <definedName name="NET_INTEREST_INC_AFTER_LL" hidden="1">"NET_INTEREST_INC_AFTER_LL"</definedName>
    <definedName name="NET_LOANS" hidden="1">"NET_LOANS"</definedName>
    <definedName name="NON_CASH" hidden="1">"NON_CASH"</definedName>
    <definedName name="NON_INTEREST_EXP" hidden="1">"NON_INTEREST_EXP"</definedName>
    <definedName name="NON_INTEREST_INC" hidden="1">"NON_INTEREST_INC"</definedName>
    <definedName name="NORMAL_INC_AFTER" hidden="1">"NORMAL_INC_AFTER"</definedName>
    <definedName name="NORMAL_INC_AVAIL" hidden="1">"NORMAL_INC_AVAIL"</definedName>
    <definedName name="NORMAL_INC_BEFORE" hidden="1">"NORMAL_INC_BEFORE"</definedName>
    <definedName name="NOTES_PAY" hidden="1">"NOTES_PAY"</definedName>
    <definedName name="OG_Carry">GP_Led!$J$7</definedName>
    <definedName name="OG_Carry_Roll">GP_Led!$J$8</definedName>
    <definedName name="OPENPRICE" hidden="1">"OPENPRICE"</definedName>
    <definedName name="OPER_INC" hidden="1">"OPER_INC"</definedName>
    <definedName name="OTHER_ASSETS" hidden="1">"OTHER_ASSETS"</definedName>
    <definedName name="OTHER_CURRENT_ASSETS" hidden="1">"OTHER_CURRENT_ASSETS"</definedName>
    <definedName name="OTHER_CURRENT_LIAB" hidden="1">"OTHER_CURRENT_LIAB"</definedName>
    <definedName name="OTHER_EARNING" hidden="1">"OTHER_EARNING"</definedName>
    <definedName name="OTHER_EQUITY" hidden="1">"OTHER_EQUITY"</definedName>
    <definedName name="OTHER_INVESTING" hidden="1">"OTHER_INVESTING"</definedName>
    <definedName name="OTHER_LIAB" hidden="1">"OTHER_LIAB"</definedName>
    <definedName name="OTHER_LONG_TERM" hidden="1">"OTHER_LONG_TERM"</definedName>
    <definedName name="OTHER_NET" hidden="1">"OTHER_NET"</definedName>
    <definedName name="OTHER_OPER" hidden="1">"OTHER_OPER"</definedName>
    <definedName name="OTHER_RECEIV" hidden="1">"OTHER_RECEIV"</definedName>
    <definedName name="OTHER_REVENUE" hidden="1">"OTHER_REVENUE"</definedName>
    <definedName name="PAY_ACCRUED" hidden="1">"PAY_ACCRUED"</definedName>
    <definedName name="PERIODDATE" hidden="1">"PERIODDATE"</definedName>
    <definedName name="PREF_DIVID" hidden="1">"PREF_DIVID"</definedName>
    <definedName name="PREF_STOCK" hidden="1">"PREF_STOCK"</definedName>
    <definedName name="PREPAID_EXPEN" hidden="1">"PREPAID_EXPEN"</definedName>
    <definedName name="PRETAX_INC" hidden="1">"PRETAX_INC"</definedName>
    <definedName name="PRETAX_INC_10K" hidden="1">"PRETAX_INC_10K"</definedName>
    <definedName name="PRETAX_INC_10Q" hidden="1">"PRETAX_INC_10Q"</definedName>
    <definedName name="PRETAX_INC_10Q1" hidden="1">"PRETAX_INC_10Q1"</definedName>
    <definedName name="PRICE_OVER_EPS_EST" hidden="1">"PRICE_OVER_EPS_EST"</definedName>
    <definedName name="PRICE_OVER_EPS_EST_1" hidden="1">"PRICE_OVER_EPS_EST_1"</definedName>
    <definedName name="PRICE_OVER_LTM_EPS" hidden="1">"PRICE_OVER_LTM_EPS"</definedName>
    <definedName name="_xlnm.Print_Area" localSheetId="1">GP_Led!$A$1:$N$115</definedName>
    <definedName name="_xlnm.Print_Area" localSheetId="2">Public_LBO!$A$1:$L$84</definedName>
    <definedName name="_xlnm.Print_Area" localSheetId="0">'Recycling (2)'!$A$1:$L$4</definedName>
    <definedName name="PRO_FORMA_BASIC_EPS" hidden="1">"PRO_FORMA_BASIC_EPS"</definedName>
    <definedName name="PRO_FORMA_DILUT_EPS" hidden="1">"PRO_FORMA_DILUT_EPS"</definedName>
    <definedName name="PRO_FORMA_NET_INC" hidden="1">"PRO_FORMA_NET_INC"</definedName>
    <definedName name="PROPERTY_GROSS" hidden="1">"PROPERTY_GROSS"</definedName>
    <definedName name="PROPERTY_NET" hidden="1">"PROPERTY_NET"</definedName>
    <definedName name="QUICK_RATIO" hidden="1">"QUICK_RATIO"</definedName>
    <definedName name="REDEEM_PREF_STOCK" hidden="1">"REDEEM_PREF_STOCK"</definedName>
    <definedName name="RESEARCH_DEV" hidden="1">"RESEARCH_DEV"</definedName>
    <definedName name="RETAINED_EARN" hidden="1">"RETAINED_EARN"</definedName>
    <definedName name="RETURN_ASSETS" hidden="1">"RETURN_ASSETS"</definedName>
    <definedName name="RETURN_EQUITY" hidden="1">"RETURN_EQUITY"</definedName>
    <definedName name="RETURN_INVESTMENT" hidden="1">"RETURN_INVESTMENT"</definedName>
    <definedName name="REVENUE" hidden="1">"REVENUE"</definedName>
    <definedName name="REVENUE_10K" hidden="1">"REVENUE_10K"</definedName>
    <definedName name="REVENUE_10Q" hidden="1">"REVENUE_10Q"</definedName>
    <definedName name="REVENUE_10Q1" hidden="1">"REVENUE_10Q1"</definedName>
    <definedName name="REVENUE_EST" hidden="1">"REVENUE_EST"</definedName>
    <definedName name="REVENUE_EST_1" hidden="1">"REVENUE_EST_1"</definedName>
    <definedName name="REVENUE_GROWTH_1" hidden="1">"REVENUE_GROWTH_1"</definedName>
    <definedName name="REVENUE_GROWTH_2" hidden="1">"REVENUE_GROWTH_2"</definedName>
    <definedName name="SGA" hidden="1">"SGA"</definedName>
    <definedName name="SHARESOUTSTANDING" hidden="1">"SHARESOUTSTANDING"</definedName>
    <definedName name="SHORT_TERM_INVEST" hidden="1">"SHORT_TERM_INVEST"</definedName>
    <definedName name="STATE" hidden="1">"STATE"</definedName>
    <definedName name="STOCK_BASED" hidden="1">"STOCK_BASED"</definedName>
    <definedName name="Tax_Rate">GP_Led!$E$17</definedName>
    <definedName name="TOTAL_ASSETS" hidden="1">"TOTAL_ASSETS"</definedName>
    <definedName name="TOTAL_CASH_DIVID" hidden="1">"TOTAL_CASH_DIVID"</definedName>
    <definedName name="TOTAL_CASH_FINAN" hidden="1">"TOTAL_CASH_FINAN"</definedName>
    <definedName name="TOTAL_CASH_INVEST" hidden="1">"TOTAL_CASH_INVEST"</definedName>
    <definedName name="TOTAL_CASH_OPER" hidden="1">"TOTAL_CASH_OPER"</definedName>
    <definedName name="TOTAL_COMMON" hidden="1">"TOTAL_COMMON"</definedName>
    <definedName name="TOTAL_CURRENT_ASSETS" hidden="1">"TOTAL_CURRENT_ASSETS"</definedName>
    <definedName name="TOTAL_CURRENT_LIAB" hidden="1">"TOTAL_CURRENT_LIAB"</definedName>
    <definedName name="TOTAL_DEBT" hidden="1">"TOTAL_DEBT"</definedName>
    <definedName name="TOTAL_DEBT_OVER_EBITDA" hidden="1">"TOTAL_DEBT_OVER_EBITDA"</definedName>
    <definedName name="TOTAL_DEBT_OVER_TOTAL_BV" hidden="1">"TOTAL_DEBT_OVER_TOTAL_BV"</definedName>
    <definedName name="TOTAL_DEBT_OVER_TOTAL_CAP" hidden="1">"TOTAL_DEBT_OVER_TOTAL_CAP"</definedName>
    <definedName name="TOTAL_EQUITY" hidden="1">"TOTAL_EQUITY"</definedName>
    <definedName name="TOTAL_INTEREST_EXP" hidden="1">"TOTAL_INTEREST_EXP"</definedName>
    <definedName name="TOTAL_INVENTORY" hidden="1">"TOTAL_INVENTORY"</definedName>
    <definedName name="TOTAL_LIAB" hidden="1">"TOTAL_LIAB"</definedName>
    <definedName name="TOTAL_LIAB_SHAREHOLD" hidden="1">"TOTAL_LIAB_SHAREHOLD"</definedName>
    <definedName name="TOTAL_LONG_DEBT" hidden="1">"TOTAL_LONG_DEBT"</definedName>
    <definedName name="TOTAL_OPER_EXPEN" hidden="1">"TOTAL_OPER_EXPEN"</definedName>
    <definedName name="TOTAL_RECEIV" hidden="1">"TOTAL_RECEIV"</definedName>
    <definedName name="TOTAL_REVENUE" hidden="1">"TOTAL_REVENUE"</definedName>
    <definedName name="TOTAL_SPECIAL" hidden="1">"TOTAL_SPECIAL"</definedName>
    <definedName name="TRADE_AR" hidden="1">"TRADE_AR"</definedName>
    <definedName name="TREASURY_STOCK" hidden="1">"TREASURY_STOCK"</definedName>
    <definedName name="UNREALIZED_GAIN" hidden="1">"UNREALIZED_GAIN"</definedName>
    <definedName name="UNUSUAL_EXP" hidden="1">"UNUSUAL_EXP"</definedName>
    <definedName name="US_GAAP" hidden="1">"US_GAAP"</definedName>
    <definedName name="VOLUME" hidden="1">"VOLUME"</definedName>
    <definedName name="wrn.2qtrly." hidden="1">{#N/A,#N/A,TRUE,"Balance Sheet";#N/A,#N/A,TRUE,"Income Statement";#N/A,#N/A,TRUE,"Cash Flow";#N/A,#N/A,TRUE,"Port of Inv";#N/A,#N/A,TRUE,"Partners Capital";#N/A,#N/A,TRUE,"Val Sum";#N/A,#N/A,TRUE,"real-unreal";#N/A,#N/A,TRUE,"Pub Mkt Val"}</definedName>
    <definedName name="wrn.Financials." hidden="1">{#N/A,#N/A,TRUE,"Balance Sheet";#N/A,#N/A,TRUE,"Income Statement";#N/A,#N/A,TRUE,"Cash Flow";#N/A,#N/A,TRUE,"Port of Inv";#N/A,#N/A,TRUE,"Partners Capital";#N/A,#N/A,TRUE,"Val Summ";#N/A,#N/A,TRUE,"Inv. Act.";#N/A,#N/A,TRUE,"Securities";#N/A,#N/A,TRUE,"Real.-Unreal.";#N/A,#N/A,TRUE,"Check List"}</definedName>
    <definedName name="wrn.Intérêts._.Mai._.95." hidden="1">{#N/A,#N/A,FALSE,"Intérêts emprunts C.Epargne";#N/A,#N/A,FALSE,"Intérêts emprunts Cie de Suez";#N/A,#N/A,FALSE,"Intérêts emprunts Stés Groupe";#N/A,#N/A,FALSE,"Intérêts prêts Cie de Suez";#N/A,#N/A,FALSE,"Intérêts prêts Stés Groupe";#N/A,#N/A,FALSE,"Intérêts émiss° ISP BT in fine";#N/A,#N/A,FALSE,"Intérêts émiss°ISP BT pcptés";#N/A,#N/A,FALSE,"Intérêts émiss°CPR BT pcptés";#N/A,#N/A,FALSE,"Intérêts souscription TCN";#N/A,#N/A,FALSE,"Intérêts souscript°MTN mandat";#N/A,#N/A,FALSE,"Intérêts souscript°MTN"}</definedName>
    <definedName name="wrn.QUEST." hidden="1">{#N/A,#N/A,FALSE,"Aurepar";#N/A,#N/A,FALSE,"Aurival";#N/A,#N/A,FALSE,"Auxilex";#N/A,#N/A,FALSE,"CFE";#N/A,#N/A,FALSE,"Dynecom";#N/A,#N/A,FALSE,"Fartran";#N/A,#N/A,FALSE,"Finabel";#N/A,#N/A,FALSE,"Finarex";#N/A,#N/A,FALSE,"Imoval";#N/A,#N/A,FALSE,"Lonoma";#N/A,#N/A,FALSE,"Muripar";#N/A,#N/A,FALSE,"Parsival";#N/A,#N/A,FALSE,"Regulind";#N/A,#N/A,FALSE,"Sperans";#N/A,#N/A,FALSE,"SEV";#N/A,#N/A,FALSE,"SEGT";#N/A,#N/A,FALSE,"SEP";#N/A,#N/A,FALSE,"SFE";#N/A,#N/A,FALSE,"Sopranor";#N/A,#N/A,FALSE,"Stralex";#N/A,#N/A,FALSE,"SFSA";#N/A,#N/A,FALSE,"SI";#N/A,#N/A,FALSE,"S Loisirs";#N/A,#N/A,FALSE,"S Services";#N/A,#N/A,FALSE,"Suliroc";#N/A,#N/A,FALSE,"Surec"}</definedName>
    <definedName name="wrn.Suez._.Industrie._.31121995." hidden="1">{#N/A,#N/A,FALSE,"Suez Industrie commentaires 12";#N/A,#N/A,FALSE,"Suez Industrie Bilan comp 1295";#N/A,#N/A,FALSE,"Suez Industrie Actif au 311295";#N/A,#N/A,FALSE,"Suez Industrie Passif 311295";#N/A,#N/A,FALSE,"Suez Industrie Cprés comp 1295";#N/A,#N/A,FALSE,"Suez Industrie résultat 311295";#N/A,#N/A,FALSE,"Suez Indus Fiscale 311295";#N/A,#N/A,FALSE,"Suez Industrie Lg terme 311295";#N/A,#N/A,FALSE,"Ecart Ptf Soc_Fisc 31-12-95";#N/A,#N/A,FALSE,"Suez Industrie OPCVM 311295";#N/A,#N/A,FALSE,"Suez Industrie Provis° passif";#N/A,#N/A,FALSE,"Suez Industrie SCI 311295";#N/A,#N/A,FALSE,"Suez Industrie Hors Bilan 95";#N/A,#N/A,FALSE,"Apport Cie de Suez du 300695"}</definedName>
    <definedName name="XRefCopy1" hidden="1">#REF!</definedName>
    <definedName name="XRefCopyRangeCount" hidden="1">1</definedName>
    <definedName name="YEARHIGH" hidden="1">"YEARHIGH"</definedName>
    <definedName name="YEARLOW" hidden="1">"YEARLOW"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7" i="43" l="1"/>
  <c r="L107" i="43"/>
  <c r="K107" i="43"/>
  <c r="J107" i="43"/>
  <c r="I107" i="43"/>
  <c r="J31" i="43" l="1"/>
  <c r="E85" i="43"/>
  <c r="M77" i="43"/>
  <c r="L77" i="43"/>
  <c r="K77" i="43"/>
  <c r="J77" i="43"/>
  <c r="I77" i="43"/>
  <c r="H77" i="43"/>
  <c r="G77" i="43"/>
  <c r="F77" i="43"/>
  <c r="E83" i="43"/>
  <c r="F75" i="43" s="1"/>
  <c r="E72" i="43"/>
  <c r="E62" i="43"/>
  <c r="E71" i="43" s="1"/>
  <c r="F56" i="43"/>
  <c r="F59" i="43" s="1"/>
  <c r="F85" i="43" s="1"/>
  <c r="F72" i="43" l="1"/>
  <c r="E65" i="43"/>
  <c r="E67" i="43" s="1"/>
  <c r="G56" i="43"/>
  <c r="H56" i="43" l="1"/>
  <c r="G59" i="43"/>
  <c r="G85" i="43" s="1"/>
  <c r="G72" i="43"/>
  <c r="E68" i="43"/>
  <c r="E69" i="43" s="1"/>
  <c r="I56" i="43" l="1"/>
  <c r="H59" i="43"/>
  <c r="H85" i="43" s="1"/>
  <c r="H72" i="43"/>
  <c r="J56" i="43" l="1"/>
  <c r="I59" i="43"/>
  <c r="I85" i="43" s="1"/>
  <c r="I62" i="43"/>
  <c r="I71" i="43" s="1"/>
  <c r="I72" i="43"/>
  <c r="I65" i="43" l="1"/>
  <c r="K56" i="43"/>
  <c r="J59" i="43"/>
  <c r="J85" i="43" s="1"/>
  <c r="J62" i="43"/>
  <c r="J71" i="43" s="1"/>
  <c r="J72" i="43"/>
  <c r="L56" i="43" l="1"/>
  <c r="K59" i="43"/>
  <c r="K85" i="43" s="1"/>
  <c r="K72" i="43"/>
  <c r="K62" i="43"/>
  <c r="K71" i="43" s="1"/>
  <c r="J65" i="43"/>
  <c r="K65" i="43" l="1"/>
  <c r="M56" i="43"/>
  <c r="L59" i="43"/>
  <c r="L85" i="43" s="1"/>
  <c r="L72" i="43"/>
  <c r="L62" i="43"/>
  <c r="L71" i="43" s="1"/>
  <c r="M59" i="43" l="1"/>
  <c r="M85" i="43" s="1"/>
  <c r="M72" i="43"/>
  <c r="M62" i="43"/>
  <c r="M71" i="43" s="1"/>
  <c r="L65" i="43"/>
  <c r="M65" i="43" l="1"/>
  <c r="E86" i="43" l="1"/>
  <c r="E22" i="43"/>
  <c r="E27" i="43" s="1"/>
  <c r="E35" i="43" s="1"/>
  <c r="E60" i="43"/>
  <c r="H100" i="43"/>
  <c r="I100" i="43" s="1"/>
  <c r="D100" i="43"/>
  <c r="D54" i="43"/>
  <c r="I19" i="43"/>
  <c r="D19" i="43"/>
  <c r="I105" i="43" l="1"/>
  <c r="I106" i="43" s="1"/>
  <c r="I102" i="43"/>
  <c r="E23" i="43"/>
  <c r="E24" i="43" s="1"/>
  <c r="E33" i="43" s="1"/>
  <c r="E87" i="43"/>
  <c r="E40" i="43"/>
  <c r="E82" i="43" s="1"/>
  <c r="F86" i="43"/>
  <c r="J100" i="43"/>
  <c r="J105" i="43" l="1"/>
  <c r="J106" i="43" s="1"/>
  <c r="J102" i="43"/>
  <c r="F87" i="43"/>
  <c r="G86" i="43"/>
  <c r="E93" i="43"/>
  <c r="E95" i="43" s="1"/>
  <c r="E34" i="43"/>
  <c r="E37" i="43" s="1"/>
  <c r="E41" i="43" s="1"/>
  <c r="F66" i="43"/>
  <c r="K100" i="43"/>
  <c r="K105" i="43" l="1"/>
  <c r="K106" i="43" s="1"/>
  <c r="K102" i="43"/>
  <c r="H86" i="43"/>
  <c r="I86" i="43" s="1"/>
  <c r="J86" i="43" s="1"/>
  <c r="K86" i="43" s="1"/>
  <c r="L86" i="43" s="1"/>
  <c r="M86" i="43" s="1"/>
  <c r="G87" i="43"/>
  <c r="E42" i="43"/>
  <c r="J22" i="43"/>
  <c r="L100" i="43"/>
  <c r="L105" i="43" l="1"/>
  <c r="L106" i="43" s="1"/>
  <c r="L102" i="43"/>
  <c r="F89" i="43"/>
  <c r="F91" i="43" s="1"/>
  <c r="H89" i="43"/>
  <c r="H91" i="43" s="1"/>
  <c r="G89" i="43"/>
  <c r="G91" i="43" s="1"/>
  <c r="E89" i="43"/>
  <c r="E91" i="43" s="1"/>
  <c r="E97" i="43" s="1"/>
  <c r="H87" i="43"/>
  <c r="M100" i="43"/>
  <c r="M102" i="43" s="1"/>
  <c r="I87" i="43" l="1"/>
  <c r="E54" i="43"/>
  <c r="F54" i="43" s="1"/>
  <c r="G54" i="43" s="1"/>
  <c r="H54" i="43" s="1"/>
  <c r="J87" i="43" l="1"/>
  <c r="I54" i="43"/>
  <c r="F63" i="43"/>
  <c r="K87" i="43" l="1"/>
  <c r="G63" i="43"/>
  <c r="F62" i="43"/>
  <c r="J54" i="43"/>
  <c r="M87" i="43" l="1"/>
  <c r="L87" i="43"/>
  <c r="H63" i="43"/>
  <c r="H62" i="43" s="1"/>
  <c r="G62" i="43"/>
  <c r="F71" i="43"/>
  <c r="F65" i="43"/>
  <c r="F67" i="43" s="1"/>
  <c r="F68" i="43" s="1"/>
  <c r="F69" i="43" s="1"/>
  <c r="K54" i="43"/>
  <c r="H71" i="43" l="1"/>
  <c r="H65" i="43"/>
  <c r="F76" i="43"/>
  <c r="G71" i="43"/>
  <c r="G65" i="43"/>
  <c r="L54" i="43"/>
  <c r="F78" i="43" l="1"/>
  <c r="F80" i="43" s="1"/>
  <c r="F82" i="43" s="1"/>
  <c r="M54" i="43"/>
  <c r="G66" i="43" l="1"/>
  <c r="G67" i="43" s="1"/>
  <c r="G68" i="43" s="1"/>
  <c r="G69" i="43" s="1"/>
  <c r="G76" i="43" s="1"/>
  <c r="F83" i="43"/>
  <c r="F93" i="43" s="1"/>
  <c r="F95" i="43" s="1"/>
  <c r="F97" i="43" s="1"/>
  <c r="G38" i="24"/>
  <c r="G29" i="24"/>
  <c r="G21" i="24"/>
  <c r="G23" i="24" s="1"/>
  <c r="G11" i="24"/>
  <c r="M8" i="24"/>
  <c r="G75" i="43" l="1"/>
  <c r="G78" i="43" s="1"/>
  <c r="G80" i="43" s="1"/>
  <c r="G39" i="24"/>
  <c r="G40" i="24" s="1"/>
  <c r="G41" i="24" s="1"/>
  <c r="G28" i="24"/>
  <c r="G30" i="24" s="1"/>
  <c r="M9" i="24"/>
  <c r="G82" i="43" l="1"/>
  <c r="G83" i="43"/>
  <c r="H75" i="43" s="1"/>
  <c r="G34" i="24"/>
  <c r="G32" i="24"/>
  <c r="G93" i="43" l="1"/>
  <c r="G95" i="43" s="1"/>
  <c r="G97" i="43" s="1"/>
  <c r="H66" i="43"/>
  <c r="H67" i="43" s="1"/>
  <c r="F70" i="2"/>
  <c r="H68" i="43" l="1"/>
  <c r="H69" i="43" s="1"/>
  <c r="H76" i="43" s="1"/>
  <c r="H78" i="43" s="1"/>
  <c r="H80" i="43" s="1"/>
  <c r="K28" i="2"/>
  <c r="K29" i="2"/>
  <c r="K26" i="2"/>
  <c r="F20" i="2"/>
  <c r="F14" i="2"/>
  <c r="K27" i="2" s="1"/>
  <c r="F13" i="2"/>
  <c r="F12" i="2"/>
  <c r="H83" i="43" l="1"/>
  <c r="I75" i="43" s="1"/>
  <c r="H82" i="43"/>
  <c r="F15" i="2"/>
  <c r="F17" i="2" s="1"/>
  <c r="K30" i="2"/>
  <c r="F27" i="2"/>
  <c r="F26" i="2"/>
  <c r="F28" i="2"/>
  <c r="F69" i="2" s="1"/>
  <c r="K51" i="2"/>
  <c r="J51" i="2"/>
  <c r="I51" i="2"/>
  <c r="H51" i="2"/>
  <c r="G51" i="2"/>
  <c r="F51" i="2"/>
  <c r="F38" i="2"/>
  <c r="J5" i="2"/>
  <c r="H93" i="43" l="1"/>
  <c r="H95" i="43"/>
  <c r="H97" i="43" s="1"/>
  <c r="J25" i="43"/>
  <c r="I66" i="43"/>
  <c r="I67" i="43" s="1"/>
  <c r="I68" i="43" s="1"/>
  <c r="I69" i="43" s="1"/>
  <c r="I76" i="43" s="1"/>
  <c r="I78" i="43" s="1"/>
  <c r="I80" i="43" s="1"/>
  <c r="F68" i="2"/>
  <c r="F29" i="2"/>
  <c r="J30" i="43" l="1"/>
  <c r="J32" i="43" s="1"/>
  <c r="J26" i="43"/>
  <c r="J27" i="43" s="1"/>
  <c r="J34" i="43"/>
  <c r="I47" i="43" s="1"/>
  <c r="I83" i="43"/>
  <c r="I82" i="43"/>
  <c r="F30" i="2"/>
  <c r="K32" i="2" s="1"/>
  <c r="I93" i="43" l="1"/>
  <c r="J47" i="43"/>
  <c r="I48" i="43"/>
  <c r="J48" i="43" s="1"/>
  <c r="D47" i="43"/>
  <c r="J66" i="43"/>
  <c r="J67" i="43" s="1"/>
  <c r="J68" i="43" s="1"/>
  <c r="J69" i="43" s="1"/>
  <c r="J76" i="43" s="1"/>
  <c r="J75" i="43"/>
  <c r="E47" i="43" l="1"/>
  <c r="M90" i="43"/>
  <c r="L90" i="43"/>
  <c r="I90" i="43"/>
  <c r="K90" i="43"/>
  <c r="J90" i="43"/>
  <c r="I49" i="43"/>
  <c r="J78" i="43"/>
  <c r="J80" i="43" s="1"/>
  <c r="J82" i="43" s="1"/>
  <c r="D48" i="43" l="1"/>
  <c r="H102" i="43" s="1"/>
  <c r="J49" i="43"/>
  <c r="K66" i="43"/>
  <c r="K67" i="43" s="1"/>
  <c r="K68" i="43" s="1"/>
  <c r="K69" i="43" s="1"/>
  <c r="K76" i="43" s="1"/>
  <c r="J83" i="43"/>
  <c r="K75" i="43" s="1"/>
  <c r="H111" i="43" l="1"/>
  <c r="I108" i="43"/>
  <c r="I109" i="43" s="1"/>
  <c r="I111" i="43" s="1"/>
  <c r="J108" i="43"/>
  <c r="J109" i="43" s="1"/>
  <c r="J111" i="43" s="1"/>
  <c r="K108" i="43"/>
  <c r="K109" i="43" s="1"/>
  <c r="K111" i="43" s="1"/>
  <c r="L108" i="43"/>
  <c r="L109" i="43" s="1"/>
  <c r="L111" i="43" s="1"/>
  <c r="E48" i="43"/>
  <c r="D49" i="43"/>
  <c r="D51" i="43"/>
  <c r="J93" i="43"/>
  <c r="K78" i="43"/>
  <c r="K80" i="43" s="1"/>
  <c r="K82" i="43" s="1"/>
  <c r="J94" i="43" l="1"/>
  <c r="J95" i="43" s="1"/>
  <c r="E49" i="43"/>
  <c r="M89" i="43"/>
  <c r="M91" i="43" s="1"/>
  <c r="L89" i="43"/>
  <c r="L91" i="43" s="1"/>
  <c r="K89" i="43"/>
  <c r="K91" i="43" s="1"/>
  <c r="J89" i="43"/>
  <c r="J91" i="43" s="1"/>
  <c r="I89" i="43"/>
  <c r="I91" i="43" s="1"/>
  <c r="I94" i="43"/>
  <c r="I95" i="43" s="1"/>
  <c r="I97" i="43" s="1"/>
  <c r="K83" i="43"/>
  <c r="K93" i="43" s="1"/>
  <c r="K94" i="43" s="1"/>
  <c r="L66" i="43"/>
  <c r="L67" i="43" s="1"/>
  <c r="L68" i="43" s="1"/>
  <c r="L69" i="43" s="1"/>
  <c r="L76" i="43" s="1"/>
  <c r="L75" i="43"/>
  <c r="J97" i="43" l="1"/>
  <c r="K95" i="43"/>
  <c r="K97" i="43" s="1"/>
  <c r="L78" i="43"/>
  <c r="L80" i="43" s="1"/>
  <c r="L82" i="43" s="1"/>
  <c r="M66" i="43" l="1"/>
  <c r="M67" i="43" s="1"/>
  <c r="M68" i="43" s="1"/>
  <c r="M69" i="43" s="1"/>
  <c r="M76" i="43" s="1"/>
  <c r="L83" i="43"/>
  <c r="M75" i="43" s="1"/>
  <c r="L93" i="43" l="1"/>
  <c r="M78" i="43"/>
  <c r="M80" i="43" s="1"/>
  <c r="M82" i="43" s="1"/>
  <c r="L94" i="43" l="1"/>
  <c r="L95" i="43" s="1"/>
  <c r="L97" i="43" s="1"/>
  <c r="M83" i="43"/>
  <c r="M93" i="43" s="1"/>
  <c r="M94" i="43" l="1"/>
  <c r="M95" i="43" s="1"/>
  <c r="M97" i="43" s="1"/>
  <c r="M113" i="43"/>
  <c r="M105" i="43" l="1"/>
  <c r="M106" i="43" s="1"/>
  <c r="M108" i="43" s="1"/>
  <c r="M114" i="43" l="1"/>
  <c r="M109" i="43"/>
  <c r="M111" i="43" s="1"/>
  <c r="E114" i="43" s="1"/>
  <c r="E113" i="43"/>
</calcChain>
</file>

<file path=xl/sharedStrings.xml><?xml version="1.0" encoding="utf-8"?>
<sst xmlns="http://schemas.openxmlformats.org/spreadsheetml/2006/main" count="356" uniqueCount="202">
  <si>
    <t>Year 0</t>
  </si>
  <si>
    <t>Year 1</t>
  </si>
  <si>
    <t>Year 2</t>
  </si>
  <si>
    <t>Year 3</t>
  </si>
  <si>
    <t>Year 4</t>
  </si>
  <si>
    <t>Year 5</t>
  </si>
  <si>
    <t>Net Income:</t>
  </si>
  <si>
    <t>Debt Balance:</t>
  </si>
  <si>
    <t>EBITDA Exit Multiple:</t>
  </si>
  <si>
    <t>Equity Proceeds:</t>
  </si>
  <si>
    <t>EBITDA:</t>
  </si>
  <si>
    <t>Tax Rate:</t>
  </si>
  <si>
    <t>($ in Millions)</t>
  </si>
  <si>
    <t>Income Statement:</t>
  </si>
  <si>
    <t>Revenue:</t>
  </si>
  <si>
    <t>Interest Rate:</t>
  </si>
  <si>
    <t>Pre-Tax Income:</t>
  </si>
  <si>
    <t>EBITDA Purchase Multiple:</t>
  </si>
  <si>
    <t>Exit Enterprise Value:</t>
  </si>
  <si>
    <t>Cash Balance:</t>
  </si>
  <si>
    <t>Cash Flow Used for Debt Repayment:</t>
  </si>
  <si>
    <t>Money-on-Money (MoM) Multiple:</t>
  </si>
  <si>
    <t>Internal Rate of Return  (IRR):</t>
  </si>
  <si>
    <t>EBITDA Growth:</t>
  </si>
  <si>
    <t>Multiple Expansion:</t>
  </si>
  <si>
    <t>Total Return to Equity Investors:</t>
  </si>
  <si>
    <t>Exit Calculations:</t>
  </si>
  <si>
    <t>Returns Attribution Analysis:</t>
  </si>
  <si>
    <t>Amount:</t>
  </si>
  <si>
    <t>%:</t>
  </si>
  <si>
    <t>Growth Rate:</t>
  </si>
  <si>
    <t>Margin:</t>
  </si>
  <si>
    <t>(-) Depreciation &amp; Amortization:</t>
  </si>
  <si>
    <t>(-) Interest Expense:</t>
  </si>
  <si>
    <t>(-) Taxes:</t>
  </si>
  <si>
    <t>Cash Flow and Debt Repayment:</t>
  </si>
  <si>
    <t>(+) Depreciation &amp; Amortization:</t>
  </si>
  <si>
    <t>(+/-) Change in Working Capital:</t>
  </si>
  <si>
    <t>(-) CapEx:</t>
  </si>
  <si>
    <t>% of Revenue:</t>
  </si>
  <si>
    <t>% of Change in Revenue:</t>
  </si>
  <si>
    <t>(+) Beginning Cash Balance:</t>
  </si>
  <si>
    <t>(+) Free Cash Flow:</t>
  </si>
  <si>
    <t>(-) Minimum Cash Balance:</t>
  </si>
  <si>
    <t>Cash Flow Available for Debt Repayment:</t>
  </si>
  <si>
    <t>Minimum Cash % EBITDA:</t>
  </si>
  <si>
    <t>Debt Paydown/Cash Generation:</t>
  </si>
  <si>
    <t>(-) Debt:</t>
  </si>
  <si>
    <t>(+) Cash:</t>
  </si>
  <si>
    <t>Equity Balance:</t>
  </si>
  <si>
    <t>Invested Capital:</t>
  </si>
  <si>
    <t>NOPAT:</t>
  </si>
  <si>
    <t>Return on Invested Capital (ROIC):</t>
  </si>
  <si>
    <t>Purchase Enterprise Value:</t>
  </si>
  <si>
    <t>Sources &amp; Uses:</t>
  </si>
  <si>
    <t>Uses:</t>
  </si>
  <si>
    <t>Transaction Fees:</t>
  </si>
  <si>
    <t>Financing Fees:</t>
  </si>
  <si>
    <t>Total Uses:</t>
  </si>
  <si>
    <t>CHECK:</t>
  </si>
  <si>
    <t>Sources:</t>
  </si>
  <si>
    <t>Total Sources:</t>
  </si>
  <si>
    <t>Advisory Fee %:</t>
  </si>
  <si>
    <t>%</t>
  </si>
  <si>
    <t>Debt Issuance Fee %:</t>
  </si>
  <si>
    <t>Legal and Other Fees:</t>
  </si>
  <si>
    <t>$ M</t>
  </si>
  <si>
    <t>Transaction Assumptions:</t>
  </si>
  <si>
    <t>Units:</t>
  </si>
  <si>
    <t>x</t>
  </si>
  <si>
    <t>Leverage Ratio:</t>
  </si>
  <si>
    <t>Investor Equity:</t>
  </si>
  <si>
    <t>Purchase Equity Value:</t>
  </si>
  <si>
    <t>Simple LBO Model Example - Public Company</t>
  </si>
  <si>
    <t>Current Share Price:</t>
  </si>
  <si>
    <t>$ as Stated</t>
  </si>
  <si>
    <t>Diluted Share Count:</t>
  </si>
  <si>
    <t>M Shares</t>
  </si>
  <si>
    <t>(-) Cash:</t>
  </si>
  <si>
    <t>(+) Debt:</t>
  </si>
  <si>
    <t>Premium Paid:</t>
  </si>
  <si>
    <t>Equity Purchase Price of Target:</t>
  </si>
  <si>
    <t>Assume/Replace Target's Debt:</t>
  </si>
  <si>
    <t>New Debt Issued:</t>
  </si>
  <si>
    <t>Total Debt Used:</t>
  </si>
  <si>
    <t>Excess Cash on Balance Sheet:</t>
  </si>
  <si>
    <t>Date</t>
  </si>
  <si>
    <t>Assumptions:</t>
  </si>
  <si>
    <t>Name of Fund / Investment:</t>
  </si>
  <si>
    <t>Name</t>
  </si>
  <si>
    <t>M&amp;I Fund</t>
  </si>
  <si>
    <t>Fund Inception:</t>
  </si>
  <si>
    <t>Fund Size:</t>
  </si>
  <si>
    <t>GP Management Fee:</t>
  </si>
  <si>
    <t>Investment Period:</t>
  </si>
  <si>
    <t># Years:</t>
  </si>
  <si>
    <t>Fund Term:</t>
  </si>
  <si>
    <t>Number of Investments per Year:</t>
  </si>
  <si>
    <t>Total Number of Investments:</t>
  </si>
  <si>
    <t>Count</t>
  </si>
  <si>
    <t>Average Investment Size:</t>
  </si>
  <si>
    <t>Gross MOIC:</t>
  </si>
  <si>
    <t>Gross vs. Net Returns</t>
  </si>
  <si>
    <t>Total:</t>
  </si>
  <si>
    <t>Carried Interest:</t>
  </si>
  <si>
    <t>Recycled Capital</t>
  </si>
  <si>
    <t>Invested Capital</t>
  </si>
  <si>
    <t>Gross MOIC on Recycling:</t>
  </si>
  <si>
    <t>MOIC on Recycling:</t>
  </si>
  <si>
    <t>Profit</t>
  </si>
  <si>
    <t>Early Distribution:</t>
  </si>
  <si>
    <t>Year</t>
  </si>
  <si>
    <t>% Invested:</t>
  </si>
  <si>
    <t>Invested % of Fund:</t>
  </si>
  <si>
    <t>Early Distribution Amount:</t>
  </si>
  <si>
    <t>Recycled %:</t>
  </si>
  <si>
    <t>Gross MOIC on 80% invested</t>
  </si>
  <si>
    <t>Proceeds from 80% invested</t>
  </si>
  <si>
    <t>Proceeds from recycling</t>
  </si>
  <si>
    <t>Gross MOIC on Recycling</t>
  </si>
  <si>
    <t>Gross proceeds</t>
  </si>
  <si>
    <t>MOIC</t>
  </si>
  <si>
    <t>Net</t>
  </si>
  <si>
    <t>Net LP</t>
  </si>
  <si>
    <t>Reimubrsement</t>
  </si>
  <si>
    <t>Carried</t>
  </si>
  <si>
    <t>TVPI</t>
  </si>
  <si>
    <t>Investable Capital:</t>
  </si>
  <si>
    <t>Commitment:</t>
  </si>
  <si>
    <t>Equity Value:</t>
  </si>
  <si>
    <t>Total Value:</t>
  </si>
  <si>
    <t>CloudVantage</t>
  </si>
  <si>
    <t>Name of Fund:</t>
  </si>
  <si>
    <t>x EBITDA</t>
  </si>
  <si>
    <t>LTM EBITDA:</t>
  </si>
  <si>
    <t>Name of Investment:</t>
  </si>
  <si>
    <t>Original Investment Date:</t>
  </si>
  <si>
    <t>Original Transaction:</t>
  </si>
  <si>
    <t>CV Transaction Date:</t>
  </si>
  <si>
    <t>Company:</t>
  </si>
  <si>
    <t>CV Sources &amp; Uses Schedule:</t>
  </si>
  <si>
    <t>Sources of Funds:</t>
  </si>
  <si>
    <t>LP Cost:</t>
  </si>
  <si>
    <t>LP Equity:</t>
  </si>
  <si>
    <t>Uses of Funds:</t>
  </si>
  <si>
    <t>Existing LP NAV:</t>
  </si>
  <si>
    <t>CV Transaction:</t>
  </si>
  <si>
    <t>Name of CV:</t>
  </si>
  <si>
    <t>(+) FMV:</t>
  </si>
  <si>
    <t>Carry % of CV:</t>
  </si>
  <si>
    <t>Gross Performance (Pre-CV):</t>
  </si>
  <si>
    <t>Net Performance (Pre-CV):</t>
  </si>
  <si>
    <t>Kleya Fund IV</t>
  </si>
  <si>
    <t>(x) Purchase Multiple:</t>
  </si>
  <si>
    <t>Continuation Vehicle (CV) Period:</t>
  </si>
  <si>
    <t>(-) Income Taxes:</t>
  </si>
  <si>
    <t>Financial Projections:</t>
  </si>
  <si>
    <t>(x) Carried Interest %:</t>
  </si>
  <si>
    <t>Net Asset Value (NAV):</t>
  </si>
  <si>
    <t>GP-Led Secondaries Transaction (Continuation Vehicle for Single Portfolio Company)</t>
  </si>
  <si>
    <t>Accrued Investment Profits:</t>
  </si>
  <si>
    <t>Accrued Carried Interest:</t>
  </si>
  <si>
    <t>Continuation Vehicle (CV):</t>
  </si>
  <si>
    <t>% Revenue:</t>
  </si>
  <si>
    <t>% Growth Rate:</t>
  </si>
  <si>
    <t>($ in Millions USD)</t>
  </si>
  <si>
    <t>(x) Valuation Multiple:</t>
  </si>
  <si>
    <t>(-) Carried Interest Rollover:</t>
  </si>
  <si>
    <t>Minimum Cash:</t>
  </si>
  <si>
    <t>(+) Realized:</t>
  </si>
  <si>
    <t>(+) Fair Market Value (FMV):</t>
  </si>
  <si>
    <t>Debt Used:</t>
  </si>
  <si>
    <t>Advisory Fee % TEV:</t>
  </si>
  <si>
    <t>CF Avail. for Debt Repayment:</t>
  </si>
  <si>
    <t>CF Used for Debt Repayment:</t>
  </si>
  <si>
    <t>Original Investment Period:</t>
  </si>
  <si>
    <t>(-) GP Equity from Rollover:</t>
  </si>
  <si>
    <t>Initial Investment Cost:</t>
  </si>
  <si>
    <t>Luthen CV 1</t>
  </si>
  <si>
    <t>Total Net Value:</t>
  </si>
  <si>
    <t>TVPI:</t>
  </si>
  <si>
    <t>Called Capital:</t>
  </si>
  <si>
    <t>Total Gross Value:</t>
  </si>
  <si>
    <t>CV Exit Date:</t>
  </si>
  <si>
    <t>(-) Carried Interest:</t>
  </si>
  <si>
    <t>Net Cash Flow:</t>
  </si>
  <si>
    <t>Reference Date:</t>
  </si>
  <si>
    <t>CV Entry:</t>
  </si>
  <si>
    <t>CV Exit:</t>
  </si>
  <si>
    <t>Net IRR:</t>
  </si>
  <si>
    <t>Interest Rate on Debt:</t>
  </si>
  <si>
    <t>Carried Interest in Original Deal:</t>
  </si>
  <si>
    <t>Carry Rolled Over in CV Deal:</t>
  </si>
  <si>
    <t>Carried Interest in CV Period:</t>
  </si>
  <si>
    <t>Initial EBITDA Multiple:</t>
  </si>
  <si>
    <t>Annual Multiple Increment:</t>
  </si>
  <si>
    <t>Total Cost:</t>
  </si>
  <si>
    <t>GP Carried Interest WITH the CV:</t>
  </si>
  <si>
    <t>GP Carried Interest WITHOUT the CV:</t>
  </si>
  <si>
    <t>Rollover of GP Carried Interest:</t>
  </si>
  <si>
    <t>(-) CapEx and Change in WC:</t>
  </si>
  <si>
    <t>Operating Income (EBIT):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</si>
</sst>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\ \x"/>
    <numFmt numFmtId="165" formatCode="_(* #,##0.0_);_(* \(#,##0.0\);_(* &quot;-&quot;?_);_(@_)"/>
    <numFmt numFmtId="166" formatCode="0.0%;\(0.0%\)"/>
    <numFmt numFmtId="167" formatCode="_(* #,##0_);_(* \(#,##0\);_(* &quot;-&quot;?_);_(@_)"/>
    <numFmt numFmtId="168" formatCode="0%;\(0%\)"/>
    <numFmt numFmtId="169" formatCode="&quot;$&quot;#,##0.0_);\(&quot;$&quot;#,##0.0\);&quot;OK!&quot;;&quot;ERROR&quot;"/>
    <numFmt numFmtId="170" formatCode="_(&quot;$&quot;* #,##0_);_(&quot;$&quot;* \(#,##0\);_(&quot;$&quot;* &quot;-&quot;?_);_(@_)"/>
    <numFmt numFmtId="171" formatCode="_(* #,##0.0_);_(* \(#,##0.0\);_(* &quot;-&quot;???_);_(@_)"/>
    <numFmt numFmtId="172" formatCode="_(0.0%_);\(0.0%\);_(* &quot;-&quot;_);_(@_)_%"/>
    <numFmt numFmtId="173" formatCode="yyyy\-mm\-dd"/>
    <numFmt numFmtId="174" formatCode="0.0\x;[Red]\ \(0.0\x\)"/>
    <numFmt numFmtId="175" formatCode="&quot;Year&quot;\ #,##0_);\(#,##0\)"/>
    <numFmt numFmtId="176" formatCode="_(* #,##0.0_);_(* \(#,##0.0\);_(* &quot;-&quot;_);_(@_)"/>
    <numFmt numFmtId="177" formatCode="_(* #,##0.0_);_(* \(#,##0.0\);_(* &quot;-&quot;??_);_(@_)"/>
    <numFmt numFmtId="178" formatCode="_(&quot;$&quot;* #,##0.0_);_(&quot;$&quot;* \(#,##0.0\);_(&quot;$&quot;* &quot;-&quot;?_);_(@_)"/>
    <numFmt numFmtId="179" formatCode="&quot;FY&quot;yy"/>
    <numFmt numFmtId="180" formatCode="_-* #,##0.00_-;\-* #,##0.00_-;_-* &quot;-&quot;??_-;_-@_-"/>
    <numFmt numFmtId="181" formatCode="0.0\ \x;[Red]\ \(0.0\ \x\)"/>
    <numFmt numFmtId="182" formatCode="&quot;FY&quot;\ yy"/>
    <numFmt numFmtId="183" formatCode="0.00\ \x;[Red]\ \(0.00\ \x\)"/>
    <numFmt numFmtId="184" formatCode="_(0.0%_);\(0.0%\);_(* &quot;-&quot;?_);_(@_)_%"/>
  </numFmts>
  <fonts count="29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u/>
      <sz val="12"/>
      <color indexed="9"/>
      <name val="Calibri"/>
      <family val="2"/>
      <scheme val="minor"/>
    </font>
    <font>
      <u/>
      <sz val="12"/>
      <color indexed="9"/>
      <name val="Calibri"/>
      <family val="2"/>
      <scheme val="minor"/>
    </font>
    <font>
      <sz val="12"/>
      <color rgb="FF0000FF"/>
      <name val="Calibri"/>
      <family val="2"/>
      <scheme val="minor"/>
    </font>
    <font>
      <sz val="12"/>
      <color rgb="FF0000FF"/>
      <name val="Calibri"/>
      <family val="2"/>
    </font>
    <font>
      <b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i/>
      <sz val="12"/>
      <color indexed="9"/>
      <name val="Calibri"/>
      <family val="2"/>
      <scheme val="minor"/>
    </font>
    <font>
      <sz val="12"/>
      <color rgb="FF00B050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2"/>
      <color rgb="FF0000F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2"/>
      <color rgb="FFFFFFFF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16"/>
      <name val="Credit Suisse Type Roman"/>
      <family val="2"/>
    </font>
    <font>
      <sz val="12"/>
      <color rgb="FFFF0000"/>
      <name val="Calibri"/>
      <family val="2"/>
      <scheme val="minor"/>
    </font>
    <font>
      <sz val="12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/>
      <right/>
      <top style="thin">
        <color rgb="FFB2B2B2"/>
      </top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auto="1"/>
      </bottom>
      <diagonal/>
    </border>
    <border>
      <left/>
      <right style="thin">
        <color rgb="FFB2B2B2"/>
      </right>
      <top/>
      <bottom/>
      <diagonal/>
    </border>
    <border>
      <left/>
      <right style="thin">
        <color rgb="FFB2B2B2"/>
      </right>
      <top style="thin">
        <color auto="1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auto="1"/>
      </bottom>
      <diagonal/>
    </border>
    <border>
      <left/>
      <right style="thin">
        <color rgb="FFB2B2B2"/>
      </right>
      <top/>
      <bottom style="thin">
        <color rgb="FF000000"/>
      </bottom>
      <diagonal/>
    </border>
    <border>
      <left/>
      <right style="thin">
        <color rgb="FFB2B2B2"/>
      </right>
      <top style="thin">
        <color rgb="FFB2B2B2"/>
      </top>
      <bottom/>
      <diagonal/>
    </border>
    <border>
      <left/>
      <right style="thin">
        <color theme="0"/>
      </right>
      <top style="thin">
        <color auto="1"/>
      </top>
      <bottom style="thin">
        <color rgb="FFFFFFFF"/>
      </bottom>
      <diagonal/>
    </border>
    <border>
      <left/>
      <right style="thin">
        <color theme="0"/>
      </right>
      <top/>
      <bottom/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/>
      <bottom style="thin">
        <color auto="1"/>
      </bottom>
      <diagonal/>
    </border>
  </borders>
  <cellStyleXfs count="12">
    <xf numFmtId="0" fontId="0" fillId="0" borderId="0"/>
    <xf numFmtId="0" fontId="3" fillId="2" borderId="7" applyNumberFormat="0" applyFont="0" applyAlignment="0" applyProtection="0"/>
    <xf numFmtId="0" fontId="14" fillId="0" borderId="0"/>
    <xf numFmtId="0" fontId="3" fillId="0" borderId="0"/>
    <xf numFmtId="0" fontId="20" fillId="0" borderId="0"/>
    <xf numFmtId="0" fontId="1" fillId="0" borderId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180" fontId="14" fillId="0" borderId="0" applyFont="0" applyFill="0" applyBorder="0" applyAlignment="0" applyProtection="0"/>
    <xf numFmtId="0" fontId="26" fillId="0" borderId="0"/>
    <xf numFmtId="9" fontId="14" fillId="0" borderId="0" applyFont="0" applyFill="0" applyBorder="0" applyAlignment="0" applyProtection="0"/>
    <xf numFmtId="180" fontId="14" fillId="0" borderId="0" applyFont="0" applyFill="0" applyBorder="0" applyAlignment="0" applyProtection="0"/>
  </cellStyleXfs>
  <cellXfs count="209">
    <xf numFmtId="0" fontId="0" fillId="0" borderId="0" xfId="0"/>
    <xf numFmtId="0" fontId="4" fillId="0" borderId="0" xfId="0" applyFont="1"/>
    <xf numFmtId="0" fontId="5" fillId="0" borderId="0" xfId="0" applyFont="1"/>
    <xf numFmtId="0" fontId="6" fillId="5" borderId="5" xfId="0" applyFont="1" applyFill="1" applyBorder="1" applyAlignment="1">
      <alignment horizontal="left"/>
    </xf>
    <xf numFmtId="0" fontId="7" fillId="5" borderId="5" xfId="0" applyFont="1" applyFill="1" applyBorder="1" applyAlignment="1">
      <alignment horizontal="left"/>
    </xf>
    <xf numFmtId="0" fontId="8" fillId="5" borderId="5" xfId="0" applyFont="1" applyFill="1" applyBorder="1" applyAlignment="1">
      <alignment horizontal="left"/>
    </xf>
    <xf numFmtId="164" fontId="9" fillId="4" borderId="7" xfId="0" applyNumberFormat="1" applyFont="1" applyFill="1" applyBorder="1" applyAlignment="1">
      <alignment horizontal="center"/>
    </xf>
    <xf numFmtId="42" fontId="5" fillId="0" borderId="0" xfId="0" applyNumberFormat="1" applyFont="1"/>
    <xf numFmtId="166" fontId="10" fillId="4" borderId="7" xfId="1" applyNumberFormat="1" applyFont="1" applyFill="1" applyAlignment="1">
      <alignment horizontal="center"/>
    </xf>
    <xf numFmtId="41" fontId="5" fillId="0" borderId="0" xfId="0" applyNumberFormat="1" applyFont="1"/>
    <xf numFmtId="0" fontId="4" fillId="3" borderId="5" xfId="0" applyFont="1" applyFill="1" applyBorder="1"/>
    <xf numFmtId="0" fontId="5" fillId="3" borderId="5" xfId="0" applyFont="1" applyFill="1" applyBorder="1"/>
    <xf numFmtId="0" fontId="4" fillId="3" borderId="5" xfId="0" applyFont="1" applyFill="1" applyBorder="1" applyAlignment="1">
      <alignment horizontal="center"/>
    </xf>
    <xf numFmtId="42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5" fontId="5" fillId="0" borderId="0" xfId="0" applyNumberFormat="1" applyFont="1"/>
    <xf numFmtId="0" fontId="5" fillId="0" borderId="0" xfId="0" applyFont="1" applyAlignment="1">
      <alignment horizontal="left" indent="1"/>
    </xf>
    <xf numFmtId="0" fontId="5" fillId="0" borderId="5" xfId="0" applyFont="1" applyBorder="1" applyAlignment="1">
      <alignment horizontal="left" indent="1"/>
    </xf>
    <xf numFmtId="0" fontId="5" fillId="0" borderId="5" xfId="0" applyFont="1" applyBorder="1"/>
    <xf numFmtId="41" fontId="5" fillId="0" borderId="5" xfId="0" applyNumberFormat="1" applyFont="1" applyBorder="1"/>
    <xf numFmtId="42" fontId="4" fillId="0" borderId="0" xfId="0" applyNumberFormat="1" applyFont="1"/>
    <xf numFmtId="0" fontId="4" fillId="0" borderId="2" xfId="0" applyFont="1" applyBorder="1"/>
    <xf numFmtId="0" fontId="5" fillId="0" borderId="2" xfId="0" applyFont="1" applyBorder="1"/>
    <xf numFmtId="42" fontId="4" fillId="0" borderId="2" xfId="0" applyNumberFormat="1" applyFont="1" applyBorder="1"/>
    <xf numFmtId="0" fontId="11" fillId="0" borderId="0" xfId="0" applyFont="1"/>
    <xf numFmtId="0" fontId="12" fillId="0" borderId="0" xfId="0" applyFont="1" applyAlignment="1">
      <alignment horizontal="left" indent="1"/>
    </xf>
    <xf numFmtId="9" fontId="12" fillId="0" borderId="0" xfId="0" applyNumberFormat="1" applyFont="1"/>
    <xf numFmtId="42" fontId="9" fillId="0" borderId="0" xfId="0" applyNumberFormat="1" applyFont="1" applyAlignment="1">
      <alignment horizontal="center"/>
    </xf>
    <xf numFmtId="167" fontId="4" fillId="0" borderId="2" xfId="0" applyNumberFormat="1" applyFont="1" applyBorder="1"/>
    <xf numFmtId="0" fontId="5" fillId="0" borderId="0" xfId="0" applyFont="1" applyAlignment="1">
      <alignment horizontal="left"/>
    </xf>
    <xf numFmtId="168" fontId="12" fillId="0" borderId="0" xfId="0" applyNumberFormat="1" applyFont="1"/>
    <xf numFmtId="168" fontId="10" fillId="4" borderId="7" xfId="1" applyNumberFormat="1" applyFont="1" applyFill="1" applyAlignment="1">
      <alignment horizontal="center"/>
    </xf>
    <xf numFmtId="0" fontId="4" fillId="6" borderId="1" xfId="0" applyFont="1" applyFill="1" applyBorder="1"/>
    <xf numFmtId="0" fontId="5" fillId="6" borderId="2" xfId="0" applyFont="1" applyFill="1" applyBorder="1"/>
    <xf numFmtId="0" fontId="4" fillId="6" borderId="4" xfId="0" applyFont="1" applyFill="1" applyBorder="1"/>
    <xf numFmtId="0" fontId="5" fillId="6" borderId="5" xfId="0" applyFont="1" applyFill="1" applyBorder="1"/>
    <xf numFmtId="0" fontId="2" fillId="0" borderId="0" xfId="0" applyFont="1"/>
    <xf numFmtId="0" fontId="4" fillId="3" borderId="5" xfId="0" applyFont="1" applyFill="1" applyBorder="1" applyAlignment="1">
      <alignment horizontal="centerContinuous"/>
    </xf>
    <xf numFmtId="0" fontId="2" fillId="3" borderId="5" xfId="0" applyFont="1" applyFill="1" applyBorder="1" applyAlignment="1">
      <alignment horizontal="centerContinuous"/>
    </xf>
    <xf numFmtId="0" fontId="2" fillId="0" borderId="0" xfId="0" applyFont="1" applyAlignment="1">
      <alignment horizontal="left" indent="1"/>
    </xf>
    <xf numFmtId="0" fontId="4" fillId="0" borderId="2" xfId="0" applyFont="1" applyBorder="1" applyAlignment="1">
      <alignment horizontal="left"/>
    </xf>
    <xf numFmtId="0" fontId="2" fillId="0" borderId="2" xfId="0" applyFont="1" applyBorder="1"/>
    <xf numFmtId="169" fontId="4" fillId="0" borderId="0" xfId="0" applyNumberFormat="1" applyFont="1" applyAlignment="1">
      <alignment horizontal="center"/>
    </xf>
    <xf numFmtId="0" fontId="2" fillId="0" borderId="5" xfId="0" applyFont="1" applyBorder="1"/>
    <xf numFmtId="0" fontId="12" fillId="0" borderId="0" xfId="0" applyFont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15" fillId="5" borderId="5" xfId="0" applyFont="1" applyFill="1" applyBorder="1" applyAlignment="1">
      <alignment horizontal="center"/>
    </xf>
    <xf numFmtId="166" fontId="10" fillId="0" borderId="0" xfId="1" applyNumberFormat="1" applyFont="1" applyFill="1" applyBorder="1" applyAlignment="1">
      <alignment horizontal="center"/>
    </xf>
    <xf numFmtId="164" fontId="13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170" fontId="2" fillId="0" borderId="0" xfId="0" applyNumberFormat="1" applyFont="1"/>
    <xf numFmtId="167" fontId="13" fillId="0" borderId="0" xfId="2" applyNumberFormat="1" applyFont="1"/>
    <xf numFmtId="170" fontId="4" fillId="0" borderId="2" xfId="0" applyNumberFormat="1" applyFont="1" applyBorder="1"/>
    <xf numFmtId="164" fontId="4" fillId="6" borderId="3" xfId="0" applyNumberFormat="1" applyFont="1" applyFill="1" applyBorder="1" applyAlignment="1">
      <alignment horizontal="center"/>
    </xf>
    <xf numFmtId="168" fontId="4" fillId="6" borderId="6" xfId="0" applyNumberFormat="1" applyFont="1" applyFill="1" applyBorder="1" applyAlignment="1">
      <alignment horizontal="center"/>
    </xf>
    <xf numFmtId="170" fontId="10" fillId="4" borderId="7" xfId="1" applyNumberFormat="1" applyFont="1" applyFill="1" applyAlignment="1"/>
    <xf numFmtId="168" fontId="5" fillId="0" borderId="0" xfId="0" applyNumberFormat="1" applyFont="1" applyAlignment="1">
      <alignment horizontal="center"/>
    </xf>
    <xf numFmtId="168" fontId="5" fillId="0" borderId="5" xfId="0" applyNumberFormat="1" applyFont="1" applyBorder="1" applyAlignment="1">
      <alignment horizontal="center"/>
    </xf>
    <xf numFmtId="9" fontId="4" fillId="0" borderId="0" xfId="0" applyNumberFormat="1" applyFont="1" applyAlignment="1">
      <alignment horizontal="center"/>
    </xf>
    <xf numFmtId="0" fontId="12" fillId="0" borderId="5" xfId="0" applyFont="1" applyBorder="1" applyAlignment="1">
      <alignment horizontal="center"/>
    </xf>
    <xf numFmtId="44" fontId="10" fillId="4" borderId="7" xfId="1" applyNumberFormat="1" applyFont="1" applyFill="1" applyAlignment="1"/>
    <xf numFmtId="171" fontId="9" fillId="4" borderId="7" xfId="0" applyNumberFormat="1" applyFont="1" applyFill="1" applyBorder="1"/>
    <xf numFmtId="41" fontId="4" fillId="0" borderId="0" xfId="0" applyNumberFormat="1" applyFont="1"/>
    <xf numFmtId="41" fontId="16" fillId="0" borderId="0" xfId="1" applyNumberFormat="1" applyFont="1" applyFill="1" applyBorder="1"/>
    <xf numFmtId="41" fontId="16" fillId="0" borderId="5" xfId="1" applyNumberFormat="1" applyFont="1" applyFill="1" applyBorder="1"/>
    <xf numFmtId="0" fontId="1" fillId="0" borderId="0" xfId="0" applyFont="1"/>
    <xf numFmtId="0" fontId="1" fillId="0" borderId="0" xfId="0" applyFont="1" applyAlignment="1">
      <alignment horizontal="centerContinuous"/>
    </xf>
    <xf numFmtId="173" fontId="9" fillId="4" borderId="7" xfId="1" applyNumberFormat="1" applyFont="1" applyFill="1" applyAlignment="1">
      <alignment horizontal="center"/>
    </xf>
    <xf numFmtId="0" fontId="12" fillId="0" borderId="8" xfId="0" applyFont="1" applyBorder="1" applyAlignment="1">
      <alignment horizontal="center"/>
    </xf>
    <xf numFmtId="0" fontId="9" fillId="4" borderId="7" xfId="1" applyFont="1" applyFill="1" applyAlignment="1">
      <alignment horizontal="centerContinuous"/>
    </xf>
    <xf numFmtId="176" fontId="9" fillId="4" borderId="7" xfId="1" applyNumberFormat="1" applyFont="1" applyFill="1"/>
    <xf numFmtId="165" fontId="5" fillId="0" borderId="0" xfId="0" applyNumberFormat="1" applyFont="1" applyAlignment="1">
      <alignment horizontal="right"/>
    </xf>
    <xf numFmtId="37" fontId="9" fillId="4" borderId="7" xfId="1" applyNumberFormat="1" applyFont="1" applyFill="1" applyAlignment="1">
      <alignment horizontal="center"/>
    </xf>
    <xf numFmtId="37" fontId="9" fillId="4" borderId="7" xfId="0" applyNumberFormat="1" applyFont="1" applyFill="1" applyBorder="1" applyAlignment="1">
      <alignment horizontal="center"/>
    </xf>
    <xf numFmtId="165" fontId="4" fillId="0" borderId="0" xfId="0" applyNumberFormat="1" applyFont="1"/>
    <xf numFmtId="174" fontId="9" fillId="4" borderId="7" xfId="1" applyNumberFormat="1" applyFont="1" applyFill="1" applyAlignment="1">
      <alignment horizontal="center"/>
    </xf>
    <xf numFmtId="43" fontId="5" fillId="0" borderId="0" xfId="0" applyNumberFormat="1" applyFont="1"/>
    <xf numFmtId="165" fontId="17" fillId="0" borderId="0" xfId="0" applyNumberFormat="1" applyFont="1" applyAlignment="1">
      <alignment horizontal="right"/>
    </xf>
    <xf numFmtId="165" fontId="17" fillId="0" borderId="0" xfId="0" applyNumberFormat="1" applyFont="1"/>
    <xf numFmtId="172" fontId="17" fillId="0" borderId="0" xfId="0" applyNumberFormat="1" applyFont="1" applyAlignment="1">
      <alignment horizontal="right"/>
    </xf>
    <xf numFmtId="0" fontId="7" fillId="0" borderId="0" xfId="0" applyFont="1" applyAlignment="1">
      <alignment horizontal="left"/>
    </xf>
    <xf numFmtId="165" fontId="1" fillId="0" borderId="0" xfId="0" applyNumberFormat="1" applyFont="1" applyAlignment="1">
      <alignment horizontal="right"/>
    </xf>
    <xf numFmtId="165" fontId="17" fillId="0" borderId="8" xfId="0" applyNumberFormat="1" applyFont="1" applyBorder="1" applyAlignment="1">
      <alignment horizontal="right"/>
    </xf>
    <xf numFmtId="0" fontId="12" fillId="0" borderId="0" xfId="0" applyFont="1"/>
    <xf numFmtId="172" fontId="12" fillId="0" borderId="0" xfId="0" applyNumberFormat="1" applyFont="1" applyAlignment="1">
      <alignment horizontal="right"/>
    </xf>
    <xf numFmtId="37" fontId="17" fillId="4" borderId="7" xfId="1" applyNumberFormat="1" applyFont="1" applyFill="1" applyAlignment="1">
      <alignment horizontal="center"/>
    </xf>
    <xf numFmtId="165" fontId="19" fillId="0" borderId="0" xfId="0" applyNumberFormat="1" applyFont="1"/>
    <xf numFmtId="174" fontId="5" fillId="0" borderId="0" xfId="0" applyNumberFormat="1" applyFont="1" applyAlignment="1">
      <alignment horizontal="right"/>
    </xf>
    <xf numFmtId="175" fontId="9" fillId="4" borderId="7" xfId="1" applyNumberFormat="1" applyFont="1" applyFill="1" applyAlignment="1">
      <alignment horizontal="center"/>
    </xf>
    <xf numFmtId="176" fontId="17" fillId="4" borderId="7" xfId="1" applyNumberFormat="1" applyFont="1" applyFill="1"/>
    <xf numFmtId="165" fontId="4" fillId="0" borderId="0" xfId="0" applyNumberFormat="1" applyFont="1" applyAlignment="1">
      <alignment horizontal="right"/>
    </xf>
    <xf numFmtId="174" fontId="9" fillId="0" borderId="0" xfId="0" applyNumberFormat="1" applyFont="1" applyAlignment="1">
      <alignment horizontal="right"/>
    </xf>
    <xf numFmtId="165" fontId="1" fillId="0" borderId="8" xfId="0" applyNumberFormat="1" applyFont="1" applyBorder="1" applyAlignment="1">
      <alignment horizontal="right"/>
    </xf>
    <xf numFmtId="165" fontId="1" fillId="0" borderId="0" xfId="0" applyNumberFormat="1" applyFont="1"/>
    <xf numFmtId="165" fontId="17" fillId="0" borderId="8" xfId="0" applyNumberFormat="1" applyFont="1" applyBorder="1"/>
    <xf numFmtId="0" fontId="15" fillId="0" borderId="0" xfId="0" applyFont="1" applyAlignment="1">
      <alignment horizontal="center"/>
    </xf>
    <xf numFmtId="0" fontId="7" fillId="5" borderId="0" xfId="0" applyFont="1" applyFill="1" applyAlignment="1">
      <alignment horizontal="left"/>
    </xf>
    <xf numFmtId="0" fontId="15" fillId="5" borderId="0" xfId="0" applyFont="1" applyFill="1" applyAlignment="1">
      <alignment horizontal="center"/>
    </xf>
    <xf numFmtId="0" fontId="1" fillId="0" borderId="0" xfId="0" applyFont="1" applyAlignment="1">
      <alignment horizontal="left" indent="1"/>
    </xf>
    <xf numFmtId="0" fontId="1" fillId="0" borderId="8" xfId="0" applyFont="1" applyBorder="1" applyAlignment="1">
      <alignment horizontal="left" indent="1"/>
    </xf>
    <xf numFmtId="178" fontId="1" fillId="0" borderId="0" xfId="0" applyNumberFormat="1" applyFont="1" applyAlignment="1">
      <alignment horizontal="right"/>
    </xf>
    <xf numFmtId="0" fontId="1" fillId="3" borderId="5" xfId="0" applyFont="1" applyFill="1" applyBorder="1"/>
    <xf numFmtId="178" fontId="4" fillId="0" borderId="0" xfId="0" applyNumberFormat="1" applyFont="1" applyAlignment="1">
      <alignment horizontal="right"/>
    </xf>
    <xf numFmtId="0" fontId="23" fillId="7" borderId="5" xfId="0" applyFont="1" applyFill="1" applyBorder="1"/>
    <xf numFmtId="9" fontId="1" fillId="0" borderId="0" xfId="0" applyNumberFormat="1" applyFont="1"/>
    <xf numFmtId="172" fontId="1" fillId="0" borderId="0" xfId="0" applyNumberFormat="1" applyFont="1" applyAlignment="1">
      <alignment horizontal="right"/>
    </xf>
    <xf numFmtId="0" fontId="23" fillId="7" borderId="0" xfId="0" applyFont="1" applyFill="1"/>
    <xf numFmtId="0" fontId="23" fillId="5" borderId="11" xfId="0" applyFont="1" applyFill="1" applyBorder="1" applyAlignment="1">
      <alignment horizontal="centerContinuous"/>
    </xf>
    <xf numFmtId="0" fontId="24" fillId="5" borderId="11" xfId="0" applyFont="1" applyFill="1" applyBorder="1" applyAlignment="1">
      <alignment horizontal="centerContinuous"/>
    </xf>
    <xf numFmtId="0" fontId="23" fillId="5" borderId="0" xfId="0" applyFont="1" applyFill="1"/>
    <xf numFmtId="0" fontId="24" fillId="5" borderId="0" xfId="0" applyFont="1" applyFill="1"/>
    <xf numFmtId="0" fontId="23" fillId="5" borderId="5" xfId="0" applyFont="1" applyFill="1" applyBorder="1"/>
    <xf numFmtId="166" fontId="9" fillId="4" borderId="7" xfId="1" applyNumberFormat="1" applyFont="1" applyFill="1" applyAlignment="1">
      <alignment horizontal="center"/>
    </xf>
    <xf numFmtId="166" fontId="9" fillId="4" borderId="12" xfId="1" applyNumberFormat="1" applyFont="1" applyFill="1" applyBorder="1" applyAlignment="1">
      <alignment horizontal="center"/>
    </xf>
    <xf numFmtId="177" fontId="17" fillId="0" borderId="8" xfId="0" applyNumberFormat="1" applyFont="1" applyBorder="1"/>
    <xf numFmtId="166" fontId="9" fillId="0" borderId="10" xfId="1" applyNumberFormat="1" applyFont="1" applyFill="1" applyBorder="1" applyAlignment="1">
      <alignment horizontal="center"/>
    </xf>
    <xf numFmtId="165" fontId="13" fillId="0" borderId="8" xfId="0" applyNumberFormat="1" applyFont="1" applyBorder="1"/>
    <xf numFmtId="0" fontId="23" fillId="0" borderId="0" xfId="0" applyFont="1"/>
    <xf numFmtId="172" fontId="9" fillId="4" borderId="7" xfId="1" applyNumberFormat="1" applyFont="1" applyFill="1" applyAlignment="1">
      <alignment horizontal="center"/>
    </xf>
    <xf numFmtId="178" fontId="1" fillId="0" borderId="0" xfId="0" applyNumberFormat="1" applyFont="1"/>
    <xf numFmtId="179" fontId="25" fillId="0" borderId="0" xfId="0" applyNumberFormat="1" applyFont="1" applyAlignment="1">
      <alignment horizontal="center"/>
    </xf>
    <xf numFmtId="182" fontId="25" fillId="5" borderId="5" xfId="0" applyNumberFormat="1" applyFont="1" applyFill="1" applyBorder="1" applyAlignment="1">
      <alignment horizontal="center"/>
    </xf>
    <xf numFmtId="182" fontId="25" fillId="5" borderId="0" xfId="0" applyNumberFormat="1" applyFont="1" applyFill="1" applyAlignment="1">
      <alignment horizontal="center"/>
    </xf>
    <xf numFmtId="178" fontId="22" fillId="0" borderId="0" xfId="0" applyNumberFormat="1" applyFont="1"/>
    <xf numFmtId="178" fontId="19" fillId="0" borderId="0" xfId="0" applyNumberFormat="1" applyFont="1" applyAlignment="1">
      <alignment horizontal="right"/>
    </xf>
    <xf numFmtId="0" fontId="1" fillId="0" borderId="5" xfId="0" applyFont="1" applyBorder="1"/>
    <xf numFmtId="165" fontId="9" fillId="4" borderId="7" xfId="0" applyNumberFormat="1" applyFont="1" applyFill="1" applyBorder="1" applyAlignment="1">
      <alignment horizontal="center"/>
    </xf>
    <xf numFmtId="181" fontId="18" fillId="0" borderId="0" xfId="0" applyNumberFormat="1" applyFont="1" applyAlignment="1">
      <alignment horizontal="right"/>
    </xf>
    <xf numFmtId="0" fontId="1" fillId="0" borderId="2" xfId="0" applyFont="1" applyBorder="1" applyAlignment="1">
      <alignment horizontal="left" indent="1"/>
    </xf>
    <xf numFmtId="0" fontId="1" fillId="0" borderId="2" xfId="0" applyFont="1" applyBorder="1"/>
    <xf numFmtId="0" fontId="12" fillId="0" borderId="2" xfId="0" applyFont="1" applyBorder="1" applyAlignment="1">
      <alignment horizontal="center"/>
    </xf>
    <xf numFmtId="0" fontId="1" fillId="0" borderId="0" xfId="0" applyFont="1" applyAlignment="1">
      <alignment horizontal="left" indent="2"/>
    </xf>
    <xf numFmtId="0" fontId="1" fillId="0" borderId="8" xfId="0" applyFont="1" applyBorder="1" applyAlignment="1">
      <alignment horizontal="left" indent="2"/>
    </xf>
    <xf numFmtId="178" fontId="4" fillId="0" borderId="0" xfId="0" applyNumberFormat="1" applyFont="1"/>
    <xf numFmtId="178" fontId="17" fillId="0" borderId="0" xfId="0" applyNumberFormat="1" applyFont="1"/>
    <xf numFmtId="165" fontId="4" fillId="0" borderId="14" xfId="0" applyNumberFormat="1" applyFont="1" applyBorder="1"/>
    <xf numFmtId="181" fontId="1" fillId="0" borderId="8" xfId="0" applyNumberFormat="1" applyFont="1" applyBorder="1" applyAlignment="1">
      <alignment horizontal="right"/>
    </xf>
    <xf numFmtId="181" fontId="1" fillId="0" borderId="0" xfId="0" applyNumberFormat="1" applyFont="1" applyAlignment="1">
      <alignment horizontal="right"/>
    </xf>
    <xf numFmtId="181" fontId="4" fillId="0" borderId="0" xfId="0" applyNumberFormat="1" applyFont="1" applyAlignment="1">
      <alignment horizontal="right"/>
    </xf>
    <xf numFmtId="166" fontId="9" fillId="0" borderId="0" xfId="1" applyNumberFormat="1" applyFont="1" applyFill="1" applyBorder="1" applyAlignment="1">
      <alignment horizontal="center"/>
    </xf>
    <xf numFmtId="165" fontId="4" fillId="0" borderId="2" xfId="0" applyNumberFormat="1" applyFont="1" applyBorder="1"/>
    <xf numFmtId="165" fontId="1" fillId="0" borderId="14" xfId="0" applyNumberFormat="1" applyFont="1" applyBorder="1"/>
    <xf numFmtId="165" fontId="4" fillId="0" borderId="15" xfId="0" applyNumberFormat="1" applyFont="1" applyBorder="1"/>
    <xf numFmtId="166" fontId="9" fillId="0" borderId="14" xfId="1" applyNumberFormat="1" applyFont="1" applyFill="1" applyBorder="1" applyAlignment="1">
      <alignment horizontal="center"/>
    </xf>
    <xf numFmtId="165" fontId="17" fillId="0" borderId="14" xfId="0" applyNumberFormat="1" applyFont="1" applyBorder="1"/>
    <xf numFmtId="183" fontId="17" fillId="4" borderId="13" xfId="0" applyNumberFormat="1" applyFont="1" applyFill="1" applyBorder="1" applyAlignment="1">
      <alignment horizontal="center"/>
    </xf>
    <xf numFmtId="165" fontId="13" fillId="0" borderId="0" xfId="2" applyNumberFormat="1" applyFont="1"/>
    <xf numFmtId="0" fontId="1" fillId="0" borderId="5" xfId="0" applyFont="1" applyBorder="1" applyAlignment="1">
      <alignment horizontal="left" indent="1"/>
    </xf>
    <xf numFmtId="165" fontId="1" fillId="0" borderId="5" xfId="0" applyNumberFormat="1" applyFont="1" applyBorder="1" applyAlignment="1">
      <alignment horizontal="right"/>
    </xf>
    <xf numFmtId="181" fontId="1" fillId="0" borderId="5" xfId="0" applyNumberFormat="1" applyFont="1" applyBorder="1" applyAlignment="1">
      <alignment horizontal="right"/>
    </xf>
    <xf numFmtId="0" fontId="27" fillId="0" borderId="0" xfId="0" applyFont="1"/>
    <xf numFmtId="0" fontId="1" fillId="0" borderId="8" xfId="0" applyFont="1" applyBorder="1"/>
    <xf numFmtId="165" fontId="9" fillId="9" borderId="17" xfId="0" applyNumberFormat="1" applyFont="1" applyFill="1" applyBorder="1" applyAlignment="1">
      <alignment horizontal="right"/>
    </xf>
    <xf numFmtId="165" fontId="9" fillId="9" borderId="7" xfId="0" applyNumberFormat="1" applyFont="1" applyFill="1" applyBorder="1" applyAlignment="1">
      <alignment horizontal="right"/>
    </xf>
    <xf numFmtId="0" fontId="12" fillId="8" borderId="16" xfId="0" applyFont="1" applyFill="1" applyBorder="1" applyAlignment="1">
      <alignment horizontal="center"/>
    </xf>
    <xf numFmtId="0" fontId="12" fillId="8" borderId="8" xfId="0" applyFont="1" applyFill="1" applyBorder="1" applyAlignment="1">
      <alignment horizontal="center"/>
    </xf>
    <xf numFmtId="165" fontId="9" fillId="9" borderId="22" xfId="0" applyNumberFormat="1" applyFont="1" applyFill="1" applyBorder="1" applyAlignment="1">
      <alignment horizontal="right"/>
    </xf>
    <xf numFmtId="183" fontId="17" fillId="4" borderId="23" xfId="0" applyNumberFormat="1" applyFont="1" applyFill="1" applyBorder="1" applyAlignment="1">
      <alignment horizontal="center"/>
    </xf>
    <xf numFmtId="178" fontId="19" fillId="0" borderId="14" xfId="0" applyNumberFormat="1" applyFont="1" applyBorder="1" applyAlignment="1">
      <alignment horizontal="right"/>
    </xf>
    <xf numFmtId="0" fontId="1" fillId="0" borderId="14" xfId="0" applyFont="1" applyBorder="1"/>
    <xf numFmtId="165" fontId="17" fillId="0" borderId="14" xfId="0" applyNumberFormat="1" applyFont="1" applyBorder="1" applyAlignment="1">
      <alignment horizontal="right"/>
    </xf>
    <xf numFmtId="165" fontId="17" fillId="0" borderId="24" xfId="0" applyNumberFormat="1" applyFont="1" applyBorder="1" applyAlignment="1">
      <alignment horizontal="right"/>
    </xf>
    <xf numFmtId="165" fontId="19" fillId="0" borderId="14" xfId="0" applyNumberFormat="1" applyFont="1" applyBorder="1"/>
    <xf numFmtId="177" fontId="17" fillId="0" borderId="24" xfId="0" applyNumberFormat="1" applyFont="1" applyBorder="1"/>
    <xf numFmtId="166" fontId="9" fillId="4" borderId="9" xfId="1" applyNumberFormat="1" applyFont="1" applyFill="1" applyBorder="1" applyAlignment="1">
      <alignment horizontal="center"/>
    </xf>
    <xf numFmtId="166" fontId="9" fillId="0" borderId="25" xfId="1" applyNumberFormat="1" applyFont="1" applyFill="1" applyBorder="1" applyAlignment="1">
      <alignment horizontal="center"/>
    </xf>
    <xf numFmtId="165" fontId="1" fillId="0" borderId="14" xfId="0" applyNumberFormat="1" applyFont="1" applyBorder="1" applyAlignment="1">
      <alignment horizontal="right"/>
    </xf>
    <xf numFmtId="178" fontId="4" fillId="0" borderId="14" xfId="0" applyNumberFormat="1" applyFont="1" applyBorder="1"/>
    <xf numFmtId="179" fontId="25" fillId="0" borderId="14" xfId="0" applyNumberFormat="1" applyFont="1" applyBorder="1" applyAlignment="1">
      <alignment horizontal="center"/>
    </xf>
    <xf numFmtId="0" fontId="1" fillId="0" borderId="24" xfId="0" applyFont="1" applyBorder="1"/>
    <xf numFmtId="0" fontId="4" fillId="0" borderId="14" xfId="0" applyFont="1" applyBorder="1"/>
    <xf numFmtId="0" fontId="24" fillId="5" borderId="26" xfId="0" applyFont="1" applyFill="1" applyBorder="1" applyAlignment="1">
      <alignment horizontal="centerContinuous"/>
    </xf>
    <xf numFmtId="182" fontId="25" fillId="5" borderId="27" xfId="0" applyNumberFormat="1" applyFont="1" applyFill="1" applyBorder="1" applyAlignment="1">
      <alignment horizontal="center"/>
    </xf>
    <xf numFmtId="173" fontId="9" fillId="0" borderId="22" xfId="1" applyNumberFormat="1" applyFont="1" applyFill="1" applyBorder="1" applyAlignment="1">
      <alignment horizontal="center"/>
    </xf>
    <xf numFmtId="0" fontId="9" fillId="0" borderId="22" xfId="1" applyFont="1" applyFill="1" applyBorder="1" applyAlignment="1">
      <alignment horizontal="centerContinuous"/>
    </xf>
    <xf numFmtId="184" fontId="4" fillId="8" borderId="21" xfId="0" applyNumberFormat="1" applyFont="1" applyFill="1" applyBorder="1" applyAlignment="1">
      <alignment horizontal="right"/>
    </xf>
    <xf numFmtId="0" fontId="4" fillId="8" borderId="18" xfId="0" applyFont="1" applyFill="1" applyBorder="1"/>
    <xf numFmtId="0" fontId="4" fillId="8" borderId="19" xfId="0" applyFont="1" applyFill="1" applyBorder="1"/>
    <xf numFmtId="172" fontId="1" fillId="0" borderId="0" xfId="0" applyNumberFormat="1" applyFont="1"/>
    <xf numFmtId="178" fontId="17" fillId="0" borderId="2" xfId="0" applyNumberFormat="1" applyFont="1" applyBorder="1" applyAlignment="1">
      <alignment horizontal="right"/>
    </xf>
    <xf numFmtId="173" fontId="25" fillId="5" borderId="5" xfId="0" applyNumberFormat="1" applyFont="1" applyFill="1" applyBorder="1" applyAlignment="1">
      <alignment horizontal="center"/>
    </xf>
    <xf numFmtId="173" fontId="25" fillId="5" borderId="27" xfId="0" applyNumberFormat="1" applyFont="1" applyFill="1" applyBorder="1" applyAlignment="1">
      <alignment horizontal="center"/>
    </xf>
    <xf numFmtId="173" fontId="25" fillId="5" borderId="0" xfId="0" applyNumberFormat="1" applyFont="1" applyFill="1" applyAlignment="1">
      <alignment horizontal="center"/>
    </xf>
    <xf numFmtId="184" fontId="13" fillId="0" borderId="0" xfId="0" applyNumberFormat="1" applyFont="1" applyAlignment="1">
      <alignment horizontal="center"/>
    </xf>
    <xf numFmtId="184" fontId="13" fillId="0" borderId="28" xfId="0" applyNumberFormat="1" applyFont="1" applyBorder="1" applyAlignment="1">
      <alignment horizontal="center"/>
    </xf>
    <xf numFmtId="181" fontId="4" fillId="8" borderId="20" xfId="0" applyNumberFormat="1" applyFont="1" applyFill="1" applyBorder="1" applyAlignment="1">
      <alignment horizontal="right"/>
    </xf>
    <xf numFmtId="0" fontId="4" fillId="10" borderId="1" xfId="0" applyFont="1" applyFill="1" applyBorder="1"/>
    <xf numFmtId="0" fontId="1" fillId="10" borderId="2" xfId="0" applyFont="1" applyFill="1" applyBorder="1"/>
    <xf numFmtId="0" fontId="1" fillId="10" borderId="5" xfId="0" applyFont="1" applyFill="1" applyBorder="1"/>
    <xf numFmtId="165" fontId="1" fillId="10" borderId="5" xfId="0" applyNumberFormat="1" applyFont="1" applyFill="1" applyBorder="1" applyAlignment="1">
      <alignment horizontal="right"/>
    </xf>
    <xf numFmtId="177" fontId="4" fillId="11" borderId="3" xfId="0" applyNumberFormat="1" applyFont="1" applyFill="1" applyBorder="1"/>
    <xf numFmtId="178" fontId="4" fillId="0" borderId="14" xfId="0" applyNumberFormat="1" applyFont="1" applyBorder="1" applyAlignment="1">
      <alignment horizontal="right"/>
    </xf>
    <xf numFmtId="165" fontId="4" fillId="11" borderId="6" xfId="0" applyNumberFormat="1" applyFont="1" applyFill="1" applyBorder="1" applyAlignment="1">
      <alignment horizontal="right"/>
    </xf>
    <xf numFmtId="0" fontId="4" fillId="10" borderId="4" xfId="0" applyFont="1" applyFill="1" applyBorder="1"/>
    <xf numFmtId="0" fontId="12" fillId="0" borderId="14" xfId="0" applyFont="1" applyBorder="1" applyAlignment="1">
      <alignment horizontal="center"/>
    </xf>
    <xf numFmtId="183" fontId="10" fillId="4" borderId="7" xfId="1" applyNumberFormat="1" applyFont="1" applyFill="1" applyAlignment="1">
      <alignment horizontal="center"/>
    </xf>
    <xf numFmtId="181" fontId="28" fillId="0" borderId="5" xfId="1" applyNumberFormat="1" applyFont="1" applyFill="1" applyBorder="1" applyAlignment="1">
      <alignment horizontal="center"/>
    </xf>
    <xf numFmtId="165" fontId="17" fillId="0" borderId="0" xfId="0" applyNumberFormat="1" applyFont="1" applyAlignment="1">
      <alignment horizontal="center"/>
    </xf>
    <xf numFmtId="165" fontId="17" fillId="0" borderId="5" xfId="0" applyNumberFormat="1" applyFont="1" applyBorder="1" applyAlignment="1">
      <alignment horizontal="center"/>
    </xf>
    <xf numFmtId="165" fontId="17" fillId="0" borderId="28" xfId="0" applyNumberFormat="1" applyFont="1" applyBorder="1" applyAlignment="1">
      <alignment horizontal="center"/>
    </xf>
    <xf numFmtId="165" fontId="17" fillId="0" borderId="29" xfId="0" applyNumberFormat="1" applyFont="1" applyBorder="1" applyAlignment="1">
      <alignment horizontal="center"/>
    </xf>
    <xf numFmtId="181" fontId="12" fillId="0" borderId="0" xfId="0" applyNumberFormat="1" applyFont="1" applyAlignment="1">
      <alignment horizontal="right"/>
    </xf>
    <xf numFmtId="181" fontId="12" fillId="0" borderId="14" xfId="0" applyNumberFormat="1" applyFont="1" applyBorder="1" applyAlignment="1">
      <alignment horizontal="right"/>
    </xf>
    <xf numFmtId="165" fontId="9" fillId="4" borderId="13" xfId="0" applyNumberFormat="1" applyFont="1" applyFill="1" applyBorder="1" applyAlignment="1">
      <alignment horizontal="center"/>
    </xf>
    <xf numFmtId="165" fontId="9" fillId="0" borderId="0" xfId="0" applyNumberFormat="1" applyFont="1" applyAlignment="1">
      <alignment horizontal="right"/>
    </xf>
    <xf numFmtId="166" fontId="13" fillId="0" borderId="14" xfId="1" applyNumberFormat="1" applyFont="1" applyFill="1" applyBorder="1" applyAlignment="1">
      <alignment horizontal="center"/>
    </xf>
    <xf numFmtId="178" fontId="4" fillId="0" borderId="2" xfId="0" applyNumberFormat="1" applyFont="1" applyBorder="1"/>
    <xf numFmtId="165" fontId="19" fillId="0" borderId="2" xfId="0" applyNumberFormat="1" applyFont="1" applyBorder="1"/>
    <xf numFmtId="178" fontId="19" fillId="0" borderId="0" xfId="0" applyNumberFormat="1" applyFont="1"/>
  </cellXfs>
  <cellStyles count="12">
    <cellStyle name="Comma 2" xfId="8" xr:uid="{E35A41CB-CBBD-4888-967A-0DAF4DD9A704}"/>
    <cellStyle name="Comma 3" xfId="11" xr:uid="{AEDE2AC6-D3A9-4ED1-9821-04923869E517}"/>
    <cellStyle name="Normal" xfId="0" builtinId="0"/>
    <cellStyle name="Normal 2" xfId="2" xr:uid="{E28F3379-423F-4FF8-8C0E-ABECB8E31219}"/>
    <cellStyle name="Normal 2 2" xfId="5" xr:uid="{F08AD799-71A7-4900-8115-C68F48AB7A26}"/>
    <cellStyle name="Normal 3" xfId="4" xr:uid="{6272A294-A055-4F67-A15D-0D4EA0B008BA}"/>
    <cellStyle name="Normal 3 2 2" xfId="3" xr:uid="{4EFDC0FB-4E4F-4707-A1FD-7694EC6EFF9D}"/>
    <cellStyle name="Normal 5" xfId="9" xr:uid="{12190037-CCB9-476B-8E5E-1160566C2138}"/>
    <cellStyle name="Note" xfId="1" builtinId="10"/>
    <cellStyle name="Percent 2" xfId="6" xr:uid="{7F442444-BA2D-4564-BFBE-CD777DF23E88}"/>
    <cellStyle name="Percent 2 2" xfId="7" xr:uid="{71DD8472-1FA9-40F5-A78B-647504D2A140}"/>
    <cellStyle name="Percent 3" xfId="10" xr:uid="{FF72B5B1-A283-4E72-BD56-9E55995E8CAE}"/>
  </cellStyles>
  <dxfs count="0"/>
  <tableStyles count="0" defaultTableStyle="TableStyleMedium2" defaultPivotStyle="PivotStyleLight16"/>
  <colors>
    <mruColors>
      <color rgb="FF0000FF"/>
      <color rgb="FFB2B2B2"/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OBM\ASS\MISAJOUR\INVT81\OMC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ND"/>
      <sheetName val="Notionnel"/>
      <sheetName val="BUND (2)"/>
      <sheetName val="OMCL"/>
      <sheetName val="Durée de vie"/>
      <sheetName val="Sheet1"/>
      <sheetName val="F2i"/>
      <sheetName val="Quarterly"/>
      <sheetName val="Main A"/>
      <sheetName val="VIP I B"/>
      <sheetName val="VIP I BSF(old)"/>
      <sheetName val="Main B"/>
      <sheetName val="VIP I B SF "/>
      <sheetName val="Main C"/>
      <sheetName val="VIP Co-Inv"/>
      <sheetName val="BUND_(2)"/>
      <sheetName val="Durée_de_vie"/>
      <sheetName val="Feuil1"/>
    </sheetNames>
    <sheetDataSet>
      <sheetData sheetId="0">
        <row r="3">
          <cell r="K3" t="str">
            <v>Ratio 5Y/Bobl :</v>
          </cell>
        </row>
        <row r="27">
          <cell r="E27">
            <v>0.06</v>
          </cell>
          <cell r="F27">
            <v>0</v>
          </cell>
          <cell r="G27">
            <v>4.6849999999999996</v>
          </cell>
          <cell r="I27">
            <v>99.987517332014349</v>
          </cell>
          <cell r="J27">
            <v>113941.36018869208</v>
          </cell>
          <cell r="K27">
            <v>109256.36018869208</v>
          </cell>
          <cell r="M27" t="e">
            <v>#NUM!</v>
          </cell>
          <cell r="N27" t="e">
            <v>#NUM!</v>
          </cell>
          <cell r="P27">
            <v>-0.89629008076709704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7">
          <cell r="E27"/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95993-53C8-477C-923C-69081E7791D8}">
  <sheetPr>
    <pageSetUpPr autoPageBreaks="0"/>
  </sheetPr>
  <dimension ref="B2:S52"/>
  <sheetViews>
    <sheetView showOutlineSymbols="0" workbookViewId="0"/>
  </sheetViews>
  <sheetFormatPr defaultColWidth="9.1796875" defaultRowHeight="15.5"/>
  <cols>
    <col min="1" max="2" width="2.7265625" style="2" customWidth="1"/>
    <col min="3" max="3" width="17.26953125" style="2" customWidth="1"/>
    <col min="4" max="16" width="13.7265625" style="2" customWidth="1"/>
    <col min="17" max="16384" width="9.1796875" style="2"/>
  </cols>
  <sheetData>
    <row r="2" spans="2:13" ht="18.5">
      <c r="B2" s="24" t="s">
        <v>102</v>
      </c>
    </row>
    <row r="3" spans="2:13">
      <c r="B3" t="s">
        <v>12</v>
      </c>
    </row>
    <row r="5" spans="2:13">
      <c r="B5" s="3" t="s">
        <v>87</v>
      </c>
      <c r="C5" s="4"/>
      <c r="D5" s="4"/>
      <c r="E5" s="46"/>
      <c r="F5" s="46" t="s">
        <v>68</v>
      </c>
      <c r="G5" s="4"/>
      <c r="H5" s="5"/>
      <c r="I5" s="5"/>
      <c r="J5" s="46"/>
      <c r="K5" s="46"/>
      <c r="L5" s="46" t="s">
        <v>68</v>
      </c>
      <c r="M5" s="5"/>
    </row>
    <row r="7" spans="2:13">
      <c r="C7" s="65" t="s">
        <v>88</v>
      </c>
      <c r="D7" s="65"/>
      <c r="E7" s="65"/>
      <c r="F7" s="44" t="s">
        <v>89</v>
      </c>
      <c r="G7" s="69" t="s">
        <v>90</v>
      </c>
      <c r="I7" s="65" t="s">
        <v>97</v>
      </c>
      <c r="L7" s="44" t="s">
        <v>99</v>
      </c>
      <c r="M7" s="72">
        <v>2</v>
      </c>
    </row>
    <row r="8" spans="2:13">
      <c r="C8" s="65" t="s">
        <v>91</v>
      </c>
      <c r="D8" s="65"/>
      <c r="E8" s="65"/>
      <c r="F8" s="44" t="s">
        <v>86</v>
      </c>
      <c r="G8" s="67">
        <v>43100</v>
      </c>
      <c r="I8" s="65" t="s">
        <v>98</v>
      </c>
      <c r="L8" s="44" t="s">
        <v>99</v>
      </c>
      <c r="M8" s="85">
        <f>+M7*G15</f>
        <v>8</v>
      </c>
    </row>
    <row r="9" spans="2:13">
      <c r="C9" s="65" t="s">
        <v>92</v>
      </c>
      <c r="D9" s="65"/>
      <c r="E9" s="65"/>
      <c r="F9" s="44" t="s">
        <v>66</v>
      </c>
      <c r="G9" s="70">
        <v>100</v>
      </c>
      <c r="I9" s="65" t="s">
        <v>100</v>
      </c>
      <c r="L9" s="44" t="s">
        <v>66</v>
      </c>
      <c r="M9" s="85">
        <f>+G11/M8</f>
        <v>10</v>
      </c>
    </row>
    <row r="10" spans="2:13">
      <c r="C10" s="65" t="s">
        <v>113</v>
      </c>
      <c r="F10" s="44" t="s">
        <v>66</v>
      </c>
      <c r="G10" s="8">
        <v>0.8</v>
      </c>
      <c r="I10" s="65" t="s">
        <v>101</v>
      </c>
      <c r="L10" s="44" t="s">
        <v>69</v>
      </c>
      <c r="M10" s="75">
        <v>3</v>
      </c>
    </row>
    <row r="11" spans="2:13">
      <c r="C11" s="65" t="s">
        <v>50</v>
      </c>
      <c r="F11" s="44" t="s">
        <v>66</v>
      </c>
      <c r="G11" s="89">
        <f>+G9*G10</f>
        <v>80</v>
      </c>
    </row>
    <row r="12" spans="2:13">
      <c r="C12" s="65" t="s">
        <v>93</v>
      </c>
      <c r="D12" s="65"/>
      <c r="E12" s="65"/>
      <c r="F12" s="44" t="s">
        <v>63</v>
      </c>
      <c r="G12" s="8">
        <v>0.02</v>
      </c>
      <c r="I12" s="65" t="s">
        <v>110</v>
      </c>
      <c r="L12" s="44" t="s">
        <v>111</v>
      </c>
      <c r="M12" s="88">
        <v>3</v>
      </c>
    </row>
    <row r="13" spans="2:13">
      <c r="C13" s="65" t="s">
        <v>104</v>
      </c>
      <c r="D13" s="65"/>
      <c r="E13" s="65"/>
      <c r="F13" s="44" t="s">
        <v>63</v>
      </c>
      <c r="G13" s="8">
        <v>0.2</v>
      </c>
      <c r="I13" s="65" t="s">
        <v>114</v>
      </c>
      <c r="L13" s="44" t="s">
        <v>66</v>
      </c>
      <c r="M13" s="70">
        <v>20</v>
      </c>
    </row>
    <row r="15" spans="2:13">
      <c r="C15" s="65" t="s">
        <v>94</v>
      </c>
      <c r="D15" s="65"/>
      <c r="E15" s="65"/>
      <c r="F15" s="44" t="s">
        <v>95</v>
      </c>
      <c r="G15" s="73">
        <v>4</v>
      </c>
      <c r="I15" s="65" t="s">
        <v>107</v>
      </c>
      <c r="L15" s="44" t="s">
        <v>69</v>
      </c>
      <c r="M15" s="75">
        <v>3</v>
      </c>
    </row>
    <row r="16" spans="2:13">
      <c r="C16" s="65" t="s">
        <v>96</v>
      </c>
      <c r="D16" s="65"/>
      <c r="E16" s="65"/>
      <c r="F16" s="44" t="s">
        <v>95</v>
      </c>
      <c r="G16" s="73">
        <v>10</v>
      </c>
      <c r="I16" s="65" t="s">
        <v>115</v>
      </c>
      <c r="L16" s="44" t="s">
        <v>63</v>
      </c>
      <c r="M16" s="8">
        <v>1</v>
      </c>
    </row>
    <row r="17" spans="3:13">
      <c r="I17" s="65" t="s">
        <v>108</v>
      </c>
      <c r="L17" s="44" t="s">
        <v>69</v>
      </c>
      <c r="M17" s="75">
        <v>3</v>
      </c>
    </row>
    <row r="19" spans="3:13">
      <c r="C19" s="65" t="s">
        <v>128</v>
      </c>
      <c r="G19" s="70">
        <v>100</v>
      </c>
    </row>
    <row r="20" spans="3:13">
      <c r="C20" s="65" t="s">
        <v>112</v>
      </c>
      <c r="G20" s="8">
        <v>0.8</v>
      </c>
    </row>
    <row r="21" spans="3:13">
      <c r="C21" s="65" t="s">
        <v>127</v>
      </c>
      <c r="G21" s="2">
        <f>+G19*G20</f>
        <v>80</v>
      </c>
    </row>
    <row r="22" spans="3:13">
      <c r="C22" s="65" t="s">
        <v>105</v>
      </c>
      <c r="G22" s="2">
        <v>20</v>
      </c>
    </row>
    <row r="23" spans="3:13">
      <c r="C23" s="65" t="s">
        <v>106</v>
      </c>
      <c r="G23" s="2">
        <f>SUM(G21:G22)</f>
        <v>100</v>
      </c>
    </row>
    <row r="24" spans="3:13">
      <c r="C24" s="65"/>
    </row>
    <row r="25" spans="3:13">
      <c r="C25" s="65" t="s">
        <v>116</v>
      </c>
      <c r="G25" s="91">
        <v>3</v>
      </c>
    </row>
    <row r="26" spans="3:13">
      <c r="C26" s="65" t="s">
        <v>119</v>
      </c>
      <c r="G26" s="91">
        <v>1</v>
      </c>
    </row>
    <row r="27" spans="3:13">
      <c r="C27" s="65"/>
    </row>
    <row r="28" spans="3:13">
      <c r="C28" s="65" t="s">
        <v>117</v>
      </c>
      <c r="G28" s="2">
        <f>+G21*G25</f>
        <v>240</v>
      </c>
    </row>
    <row r="29" spans="3:13">
      <c r="C29" s="65" t="s">
        <v>118</v>
      </c>
      <c r="G29" s="2">
        <f>+G22*G26</f>
        <v>20</v>
      </c>
    </row>
    <row r="30" spans="3:13">
      <c r="C30" s="65" t="s">
        <v>120</v>
      </c>
      <c r="G30" s="2">
        <f>SUM(G28:G29)</f>
        <v>260</v>
      </c>
    </row>
    <row r="31" spans="3:13">
      <c r="C31" s="65"/>
      <c r="G31" s="76"/>
    </row>
    <row r="32" spans="3:13">
      <c r="C32" s="65" t="s">
        <v>121</v>
      </c>
      <c r="G32" s="76">
        <f>+G30/G23</f>
        <v>2.6</v>
      </c>
    </row>
    <row r="34" spans="3:19">
      <c r="C34" s="65" t="s">
        <v>122</v>
      </c>
      <c r="G34" s="2">
        <f>+G30-G22</f>
        <v>240</v>
      </c>
    </row>
    <row r="35" spans="3:19">
      <c r="C35" s="65" t="s">
        <v>123</v>
      </c>
    </row>
    <row r="37" spans="3:19">
      <c r="C37" s="65" t="s">
        <v>124</v>
      </c>
      <c r="G37" s="2">
        <v>100</v>
      </c>
      <c r="S37" s="71"/>
    </row>
    <row r="38" spans="3:19">
      <c r="C38" s="65" t="s">
        <v>109</v>
      </c>
      <c r="G38" s="2">
        <f>240-G37</f>
        <v>140</v>
      </c>
      <c r="S38" s="71"/>
    </row>
    <row r="39" spans="3:19">
      <c r="C39" s="65" t="s">
        <v>125</v>
      </c>
      <c r="G39" s="2">
        <f>+G38*0.2</f>
        <v>28</v>
      </c>
      <c r="S39" s="15"/>
    </row>
    <row r="40" spans="3:19">
      <c r="C40" s="65" t="s">
        <v>126</v>
      </c>
      <c r="G40" s="2">
        <f>SUM(G37:G38)-G39</f>
        <v>212</v>
      </c>
    </row>
    <row r="41" spans="3:19">
      <c r="G41" s="2">
        <f>+G40/G19</f>
        <v>2.12</v>
      </c>
    </row>
    <row r="42" spans="3:19">
      <c r="S42" s="71"/>
    </row>
    <row r="44" spans="3:19">
      <c r="S44" s="87"/>
    </row>
    <row r="45" spans="3:19">
      <c r="S45" s="87"/>
    </row>
    <row r="46" spans="3:19">
      <c r="S46" s="71"/>
    </row>
    <row r="47" spans="3:19">
      <c r="S47" s="71"/>
    </row>
    <row r="48" spans="3:19">
      <c r="S48" s="71"/>
    </row>
    <row r="49" spans="19:19">
      <c r="S49" s="71"/>
    </row>
    <row r="50" spans="19:19">
      <c r="S50" s="15"/>
    </row>
    <row r="51" spans="19:19">
      <c r="S51" s="15"/>
    </row>
    <row r="52" spans="19:19">
      <c r="S52" s="15"/>
    </row>
  </sheetData>
  <pageMargins left="0.7" right="0.7" top="0.75" bottom="0.75" header="0.3" footer="0.3"/>
  <pageSetup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7980F-AFAE-4141-A1DC-FF73F672B85F}">
  <sheetPr>
    <pageSetUpPr autoPageBreaks="0"/>
  </sheetPr>
  <dimension ref="B1:N115"/>
  <sheetViews>
    <sheetView showGridLines="0" tabSelected="1" zoomScaleNormal="100" workbookViewId="0">
      <selection activeCell="B2" sqref="B2"/>
    </sheetView>
  </sheetViews>
  <sheetFormatPr defaultColWidth="8.81640625" defaultRowHeight="15.5" outlineLevelRow="1"/>
  <cols>
    <col min="1" max="2" width="2.7265625" style="65" customWidth="1"/>
    <col min="3" max="3" width="29.81640625" style="65" bestFit="1" customWidth="1"/>
    <col min="4" max="13" width="14.81640625" style="65" customWidth="1"/>
    <col min="14" max="14" width="2.7265625" style="65" customWidth="1"/>
    <col min="15" max="15" width="2.6328125" style="65" customWidth="1"/>
    <col min="16" max="16384" width="8.81640625" style="65"/>
  </cols>
  <sheetData>
    <row r="1" spans="2:13" ht="15.65" customHeight="1"/>
    <row r="2" spans="2:13" ht="15.65" customHeight="1">
      <c r="B2" s="24" t="s">
        <v>159</v>
      </c>
    </row>
    <row r="3" spans="2:13" ht="15.65" customHeight="1">
      <c r="B3" s="65" t="s">
        <v>165</v>
      </c>
    </row>
    <row r="4" spans="2:13" ht="15.65" customHeight="1"/>
    <row r="5" spans="2:13" ht="15.65" customHeight="1">
      <c r="B5" s="106" t="s">
        <v>139</v>
      </c>
      <c r="C5" s="96"/>
      <c r="D5" s="97" t="s">
        <v>68</v>
      </c>
      <c r="E5" s="96"/>
      <c r="F5" s="96"/>
      <c r="G5" s="96"/>
      <c r="H5" s="97"/>
      <c r="I5" s="97" t="s">
        <v>68</v>
      </c>
      <c r="J5" s="96"/>
      <c r="K5" s="96"/>
      <c r="L5" s="96"/>
      <c r="M5" s="96"/>
    </row>
    <row r="6" spans="2:13" ht="15.65" customHeight="1" outlineLevel="1">
      <c r="B6" s="117"/>
      <c r="C6" s="80"/>
      <c r="D6" s="95"/>
      <c r="E6" s="80"/>
      <c r="F6" s="80"/>
      <c r="G6" s="80"/>
      <c r="H6" s="49"/>
      <c r="I6" s="49"/>
      <c r="J6" s="95"/>
      <c r="K6" s="95"/>
      <c r="L6" s="95"/>
      <c r="M6" s="49"/>
    </row>
    <row r="7" spans="2:13" ht="15.65" customHeight="1" outlineLevel="1">
      <c r="C7" s="65" t="s">
        <v>132</v>
      </c>
      <c r="D7" s="44" t="s">
        <v>89</v>
      </c>
      <c r="E7" s="69" t="s">
        <v>152</v>
      </c>
      <c r="G7" s="65" t="s">
        <v>191</v>
      </c>
      <c r="I7" s="44" t="s">
        <v>63</v>
      </c>
      <c r="J7" s="118">
        <v>0.2</v>
      </c>
    </row>
    <row r="8" spans="2:13" ht="15.65" customHeight="1" outlineLevel="1">
      <c r="C8" s="65" t="s">
        <v>135</v>
      </c>
      <c r="D8" s="44" t="s">
        <v>89</v>
      </c>
      <c r="E8" s="69" t="s">
        <v>131</v>
      </c>
      <c r="G8" s="65" t="s">
        <v>192</v>
      </c>
      <c r="I8" s="44" t="s">
        <v>63</v>
      </c>
      <c r="J8" s="118">
        <v>1</v>
      </c>
    </row>
    <row r="9" spans="2:13" ht="15.65" customHeight="1" outlineLevel="1">
      <c r="C9" s="65" t="s">
        <v>147</v>
      </c>
      <c r="D9" s="44" t="s">
        <v>89</v>
      </c>
      <c r="E9" s="69" t="s">
        <v>178</v>
      </c>
      <c r="I9" s="44"/>
    </row>
    <row r="10" spans="2:13" ht="15.65" customHeight="1" outlineLevel="1">
      <c r="D10" s="44"/>
      <c r="E10" s="174"/>
      <c r="G10" s="65" t="s">
        <v>193</v>
      </c>
      <c r="I10" s="44" t="s">
        <v>63</v>
      </c>
      <c r="J10" s="118">
        <v>0.2</v>
      </c>
    </row>
    <row r="11" spans="2:13" ht="15.65" customHeight="1" outlineLevel="1">
      <c r="C11" s="65" t="s">
        <v>136</v>
      </c>
      <c r="D11" s="44" t="s">
        <v>86</v>
      </c>
      <c r="E11" s="67">
        <v>44196</v>
      </c>
    </row>
    <row r="12" spans="2:13" ht="15.65" customHeight="1" outlineLevel="1">
      <c r="C12" s="65" t="s">
        <v>186</v>
      </c>
      <c r="D12" s="44" t="s">
        <v>86</v>
      </c>
      <c r="E12" s="67">
        <v>45291</v>
      </c>
      <c r="G12" s="65" t="s">
        <v>194</v>
      </c>
      <c r="I12" s="194" t="s">
        <v>69</v>
      </c>
      <c r="J12" s="195">
        <v>10</v>
      </c>
    </row>
    <row r="13" spans="2:13" ht="15.65" customHeight="1" outlineLevel="1">
      <c r="C13" s="65" t="s">
        <v>138</v>
      </c>
      <c r="D13" s="44" t="s">
        <v>86</v>
      </c>
      <c r="E13" s="67">
        <v>45382</v>
      </c>
      <c r="G13" s="65" t="s">
        <v>195</v>
      </c>
      <c r="I13" s="194" t="s">
        <v>69</v>
      </c>
      <c r="J13" s="195">
        <v>0.25</v>
      </c>
    </row>
    <row r="14" spans="2:13" ht="15.65" customHeight="1" outlineLevel="1">
      <c r="C14" s="65" t="s">
        <v>183</v>
      </c>
      <c r="D14" s="44" t="s">
        <v>86</v>
      </c>
      <c r="E14" s="67">
        <v>47118</v>
      </c>
    </row>
    <row r="15" spans="2:13" ht="15.65" customHeight="1" outlineLevel="1">
      <c r="D15" s="44"/>
      <c r="E15" s="173"/>
    </row>
    <row r="16" spans="2:13" ht="15.65" customHeight="1" outlineLevel="1">
      <c r="C16" s="65" t="s">
        <v>190</v>
      </c>
      <c r="D16" s="44" t="s">
        <v>63</v>
      </c>
      <c r="E16" s="118">
        <v>0.1</v>
      </c>
    </row>
    <row r="17" spans="2:13" ht="15.65" customHeight="1" outlineLevel="1">
      <c r="C17" s="65" t="s">
        <v>11</v>
      </c>
      <c r="D17" s="44" t="s">
        <v>63</v>
      </c>
      <c r="E17" s="118">
        <v>0.25</v>
      </c>
    </row>
    <row r="18" spans="2:13" ht="15.65" customHeight="1"/>
    <row r="19" spans="2:13" ht="15.65" customHeight="1">
      <c r="B19" s="103" t="s">
        <v>137</v>
      </c>
      <c r="C19" s="4"/>
      <c r="D19" s="46" t="str">
        <f>$D$5</f>
        <v>Units:</v>
      </c>
      <c r="E19" s="4"/>
      <c r="F19" s="5"/>
      <c r="G19" s="103" t="s">
        <v>146</v>
      </c>
      <c r="H19" s="4"/>
      <c r="I19" s="46" t="str">
        <f>$D$5</f>
        <v>Units:</v>
      </c>
      <c r="J19" s="4"/>
      <c r="K19" s="46"/>
      <c r="L19" s="46"/>
      <c r="M19" s="5"/>
    </row>
    <row r="20" spans="2:13" ht="15.65" customHeight="1" outlineLevel="1"/>
    <row r="21" spans="2:13" ht="15.65" customHeight="1" outlineLevel="1">
      <c r="C21" s="10" t="s">
        <v>67</v>
      </c>
      <c r="D21" s="12"/>
      <c r="E21" s="12"/>
      <c r="G21" s="10" t="s">
        <v>150</v>
      </c>
      <c r="H21" s="12"/>
      <c r="I21" s="12"/>
      <c r="J21" s="12"/>
    </row>
    <row r="22" spans="2:13" ht="15.65" customHeight="1" outlineLevel="1">
      <c r="C22" s="98" t="s">
        <v>134</v>
      </c>
      <c r="D22" s="44" t="s">
        <v>66</v>
      </c>
      <c r="E22" s="119">
        <f>E59</f>
        <v>100</v>
      </c>
      <c r="G22" s="98" t="s">
        <v>177</v>
      </c>
      <c r="I22" s="44" t="s">
        <v>66</v>
      </c>
      <c r="J22" s="134">
        <f>E41</f>
        <v>648</v>
      </c>
    </row>
    <row r="23" spans="2:13" ht="15.65" customHeight="1" outlineLevel="1">
      <c r="C23" s="132" t="s">
        <v>153</v>
      </c>
      <c r="D23" s="68" t="s">
        <v>69</v>
      </c>
      <c r="E23" s="196">
        <f>E86</f>
        <v>10</v>
      </c>
      <c r="G23" s="98"/>
      <c r="I23" s="44"/>
      <c r="J23" s="78"/>
    </row>
    <row r="24" spans="2:13" ht="15.65" customHeight="1" outlineLevel="1">
      <c r="C24" s="1" t="s">
        <v>53</v>
      </c>
      <c r="D24" s="44" t="s">
        <v>66</v>
      </c>
      <c r="E24" s="86">
        <f>LTM_EBITDA*E23</f>
        <v>1000</v>
      </c>
      <c r="G24" s="98" t="s">
        <v>169</v>
      </c>
      <c r="I24" s="44" t="s">
        <v>66</v>
      </c>
      <c r="J24" s="126">
        <v>0</v>
      </c>
    </row>
    <row r="25" spans="2:13" ht="15.65" customHeight="1" outlineLevel="1">
      <c r="D25" s="44"/>
      <c r="E25" s="78"/>
      <c r="G25" s="99" t="s">
        <v>170</v>
      </c>
      <c r="H25" s="125"/>
      <c r="I25" s="68" t="s">
        <v>66</v>
      </c>
      <c r="J25" s="94">
        <f>H93</f>
        <v>1626.650504264589</v>
      </c>
    </row>
    <row r="26" spans="2:13" ht="15.65" customHeight="1" outlineLevel="1">
      <c r="C26" s="65" t="s">
        <v>70</v>
      </c>
      <c r="D26" s="44" t="s">
        <v>69</v>
      </c>
      <c r="E26" s="6">
        <v>4</v>
      </c>
      <c r="G26" s="1" t="s">
        <v>130</v>
      </c>
      <c r="I26" s="44" t="s">
        <v>66</v>
      </c>
      <c r="J26" s="133">
        <f>SUM(J24:J25)</f>
        <v>1626.650504264589</v>
      </c>
    </row>
    <row r="27" spans="2:13" ht="15.65" customHeight="1" outlineLevel="1">
      <c r="C27" s="65" t="s">
        <v>171</v>
      </c>
      <c r="D27" s="44" t="s">
        <v>66</v>
      </c>
      <c r="E27" s="119">
        <f>LTM_EBITDA*E26</f>
        <v>400</v>
      </c>
      <c r="G27" s="25" t="s">
        <v>101</v>
      </c>
      <c r="I27" s="44" t="s">
        <v>69</v>
      </c>
      <c r="J27" s="127">
        <f>J26/J22</f>
        <v>2.5102631238651063</v>
      </c>
    </row>
    <row r="28" spans="2:13" ht="15.65" customHeight="1" outlineLevel="1">
      <c r="D28" s="44"/>
      <c r="E28" s="79"/>
    </row>
    <row r="29" spans="2:13" ht="15.65" customHeight="1" outlineLevel="1">
      <c r="C29" s="65" t="s">
        <v>172</v>
      </c>
      <c r="D29" s="44" t="s">
        <v>63</v>
      </c>
      <c r="E29" s="118">
        <v>0.01</v>
      </c>
      <c r="G29" s="10" t="s">
        <v>151</v>
      </c>
      <c r="H29" s="12"/>
      <c r="I29" s="12"/>
      <c r="J29" s="12"/>
    </row>
    <row r="30" spans="2:13" ht="15.65" customHeight="1" outlineLevel="1">
      <c r="C30" s="65" t="s">
        <v>64</v>
      </c>
      <c r="D30" s="44" t="s">
        <v>63</v>
      </c>
      <c r="E30" s="118">
        <v>0.02</v>
      </c>
      <c r="G30" s="128" t="s">
        <v>160</v>
      </c>
      <c r="H30" s="129"/>
      <c r="I30" s="130" t="s">
        <v>66</v>
      </c>
      <c r="J30" s="179">
        <f>MAX(0,J25-J22)</f>
        <v>978.65050426458902</v>
      </c>
    </row>
    <row r="31" spans="2:13" ht="15.65" customHeight="1" outlineLevel="1">
      <c r="G31" s="131" t="s">
        <v>157</v>
      </c>
      <c r="I31" s="44" t="s">
        <v>63</v>
      </c>
      <c r="J31" s="178">
        <f>OG_Carry</f>
        <v>0.2</v>
      </c>
    </row>
    <row r="32" spans="2:13" ht="15.65" customHeight="1" outlineLevel="1">
      <c r="C32" s="10" t="s">
        <v>55</v>
      </c>
      <c r="D32" s="101"/>
      <c r="E32" s="101"/>
      <c r="G32" s="21" t="s">
        <v>161</v>
      </c>
      <c r="H32" s="129"/>
      <c r="I32" s="130" t="s">
        <v>66</v>
      </c>
      <c r="J32" s="207">
        <f>J30*J31</f>
        <v>195.73010085291781</v>
      </c>
    </row>
    <row r="33" spans="2:13" ht="15.65" customHeight="1" outlineLevel="1">
      <c r="C33" s="98" t="s">
        <v>53</v>
      </c>
      <c r="D33" s="44" t="s">
        <v>66</v>
      </c>
      <c r="E33" s="119">
        <f>E24</f>
        <v>1000</v>
      </c>
    </row>
    <row r="34" spans="2:13" ht="15.65" customHeight="1" outlineLevel="1">
      <c r="C34" s="98" t="s">
        <v>56</v>
      </c>
      <c r="D34" s="44" t="s">
        <v>66</v>
      </c>
      <c r="E34" s="146">
        <f>E29*E24</f>
        <v>10</v>
      </c>
      <c r="G34" s="1" t="s">
        <v>158</v>
      </c>
      <c r="I34" s="44" t="s">
        <v>66</v>
      </c>
      <c r="J34" s="208">
        <f>J25-J32</f>
        <v>1430.9204034116713</v>
      </c>
    </row>
    <row r="35" spans="2:13" ht="15.65" customHeight="1" outlineLevel="1">
      <c r="C35" s="98" t="s">
        <v>57</v>
      </c>
      <c r="D35" s="44" t="s">
        <v>66</v>
      </c>
      <c r="E35" s="146">
        <f>E30*E27</f>
        <v>8</v>
      </c>
      <c r="G35" s="25"/>
      <c r="I35" s="44"/>
      <c r="J35" s="127"/>
      <c r="K35" s="150"/>
    </row>
    <row r="36" spans="2:13" ht="15.65" customHeight="1" outlineLevel="1">
      <c r="C36" s="98" t="s">
        <v>168</v>
      </c>
      <c r="D36" s="59" t="s">
        <v>66</v>
      </c>
      <c r="E36" s="126">
        <v>30</v>
      </c>
    </row>
    <row r="37" spans="2:13" ht="15.65" customHeight="1" outlineLevel="1">
      <c r="C37" s="40" t="s">
        <v>58</v>
      </c>
      <c r="D37" s="44" t="s">
        <v>66</v>
      </c>
      <c r="E37" s="206">
        <f>SUM(E33:E36)</f>
        <v>1048</v>
      </c>
    </row>
    <row r="38" spans="2:13" ht="15.65" customHeight="1" outlineLevel="1"/>
    <row r="39" spans="2:13" ht="15.65" customHeight="1" outlineLevel="1">
      <c r="C39" s="10" t="s">
        <v>60</v>
      </c>
      <c r="D39" s="10"/>
      <c r="E39" s="10"/>
    </row>
    <row r="40" spans="2:13" ht="15.65" customHeight="1" outlineLevel="1">
      <c r="C40" s="98" t="s">
        <v>83</v>
      </c>
      <c r="D40" s="44" t="s">
        <v>66</v>
      </c>
      <c r="E40" s="119">
        <f>E27</f>
        <v>400</v>
      </c>
    </row>
    <row r="41" spans="2:13" ht="15.65" customHeight="1" outlineLevel="1">
      <c r="C41" s="98" t="s">
        <v>71</v>
      </c>
      <c r="D41" s="59" t="s">
        <v>66</v>
      </c>
      <c r="E41" s="146">
        <f>E37-E40</f>
        <v>648</v>
      </c>
    </row>
    <row r="42" spans="2:13" ht="15.65" customHeight="1" outlineLevel="1">
      <c r="C42" s="40" t="s">
        <v>61</v>
      </c>
      <c r="D42" s="44" t="s">
        <v>66</v>
      </c>
      <c r="E42" s="206">
        <f>SUM(E40:E41)</f>
        <v>1048</v>
      </c>
    </row>
    <row r="43" spans="2:13" ht="15.65" customHeight="1"/>
    <row r="44" spans="2:13" ht="15.65" customHeight="1">
      <c r="B44" s="103" t="s">
        <v>140</v>
      </c>
      <c r="C44" s="4"/>
      <c r="D44" s="46"/>
      <c r="E44" s="4"/>
      <c r="F44" s="5"/>
      <c r="G44" s="5"/>
      <c r="H44" s="5"/>
      <c r="I44" s="46"/>
      <c r="J44" s="46"/>
      <c r="K44" s="46"/>
      <c r="L44" s="46"/>
      <c r="M44" s="5"/>
    </row>
    <row r="45" spans="2:13" ht="15.65" customHeight="1" outlineLevel="1"/>
    <row r="46" spans="2:13" ht="15.65" customHeight="1" outlineLevel="1">
      <c r="C46" s="10" t="s">
        <v>141</v>
      </c>
      <c r="D46" s="12" t="s">
        <v>66</v>
      </c>
      <c r="E46" s="12" t="s">
        <v>133</v>
      </c>
      <c r="G46" s="12" t="s">
        <v>144</v>
      </c>
      <c r="H46" s="12"/>
      <c r="I46" s="12" t="s">
        <v>66</v>
      </c>
      <c r="J46" s="12" t="s">
        <v>133</v>
      </c>
    </row>
    <row r="47" spans="2:13" ht="15.65" customHeight="1" outlineLevel="1">
      <c r="C47" s="98" t="s">
        <v>199</v>
      </c>
      <c r="D47" s="100">
        <f>J32*OG_Carry_Roll</f>
        <v>195.73010085291781</v>
      </c>
      <c r="E47" s="137">
        <f>D47/LTM_EBITDA</f>
        <v>1.9573010085291782</v>
      </c>
      <c r="G47" s="98" t="s">
        <v>145</v>
      </c>
      <c r="I47" s="100">
        <f>J34</f>
        <v>1430.9204034116713</v>
      </c>
      <c r="J47" s="137">
        <f>I47/LTM_EBITDA</f>
        <v>14.309204034116712</v>
      </c>
    </row>
    <row r="48" spans="2:13" ht="15.65" customHeight="1" outlineLevel="1">
      <c r="C48" s="147" t="s">
        <v>162</v>
      </c>
      <c r="D48" s="148">
        <f>I49-GP_Carry_Roll</f>
        <v>1430.9204034116713</v>
      </c>
      <c r="E48" s="149">
        <f>D48/LTM_EBITDA</f>
        <v>14.309204034116712</v>
      </c>
      <c r="G48" s="99" t="s">
        <v>161</v>
      </c>
      <c r="H48" s="99"/>
      <c r="I48" s="92">
        <f>J32</f>
        <v>195.73010085291781</v>
      </c>
      <c r="J48" s="136">
        <f>I48/LTM_EBITDA</f>
        <v>1.9573010085291782</v>
      </c>
    </row>
    <row r="49" spans="2:13" ht="15.65" customHeight="1" outlineLevel="1">
      <c r="C49" s="1" t="s">
        <v>103</v>
      </c>
      <c r="D49" s="102">
        <f>SUM(D47:D48)</f>
        <v>1626.650504264589</v>
      </c>
      <c r="E49" s="138">
        <f>D49/LTM_EBITDA</f>
        <v>16.266505042645889</v>
      </c>
      <c r="G49" s="1" t="s">
        <v>103</v>
      </c>
      <c r="I49" s="133">
        <f>SUM(I47:I48)</f>
        <v>1626.650504264589</v>
      </c>
      <c r="J49" s="138">
        <f>I49/LTM_EBITDA</f>
        <v>16.266505042645889</v>
      </c>
    </row>
    <row r="50" spans="2:13" ht="15.65" customHeight="1" outlineLevel="1">
      <c r="G50" s="98"/>
      <c r="I50" s="100"/>
      <c r="J50" s="137"/>
    </row>
    <row r="51" spans="2:13" ht="15.65" customHeight="1" outlineLevel="1">
      <c r="C51" s="83" t="s">
        <v>149</v>
      </c>
      <c r="D51" s="84">
        <f>GP_Carry_Roll/D48</f>
        <v>0.13678615553055812</v>
      </c>
      <c r="E51" s="83"/>
      <c r="G51" s="98"/>
      <c r="I51" s="100"/>
      <c r="J51" s="137"/>
    </row>
    <row r="52" spans="2:13" ht="15.65" customHeight="1"/>
    <row r="53" spans="2:13" ht="15.65" customHeight="1">
      <c r="B53" s="109"/>
      <c r="C53" s="109"/>
      <c r="D53" s="110"/>
      <c r="E53" s="107" t="s">
        <v>175</v>
      </c>
      <c r="F53" s="107"/>
      <c r="G53" s="108"/>
      <c r="H53" s="171"/>
      <c r="I53" s="107" t="s">
        <v>154</v>
      </c>
      <c r="J53" s="108"/>
      <c r="K53" s="108"/>
      <c r="L53" s="108"/>
      <c r="M53" s="108"/>
    </row>
    <row r="54" spans="2:13" ht="15.65" customHeight="1">
      <c r="B54" s="111" t="s">
        <v>156</v>
      </c>
      <c r="C54" s="111"/>
      <c r="D54" s="46" t="str">
        <f>$D$5</f>
        <v>Units:</v>
      </c>
      <c r="E54" s="121">
        <f>E11</f>
        <v>44196</v>
      </c>
      <c r="F54" s="121">
        <f>EOMONTH(E54,12)</f>
        <v>44561</v>
      </c>
      <c r="G54" s="121">
        <f t="shared" ref="G54:M54" si="0">EOMONTH(F54,12)</f>
        <v>44926</v>
      </c>
      <c r="H54" s="172">
        <f t="shared" si="0"/>
        <v>45291</v>
      </c>
      <c r="I54" s="121">
        <f t="shared" si="0"/>
        <v>45657</v>
      </c>
      <c r="J54" s="122">
        <f t="shared" si="0"/>
        <v>46022</v>
      </c>
      <c r="K54" s="121">
        <f t="shared" si="0"/>
        <v>46387</v>
      </c>
      <c r="L54" s="121">
        <f t="shared" si="0"/>
        <v>46752</v>
      </c>
      <c r="M54" s="121">
        <f t="shared" si="0"/>
        <v>47118</v>
      </c>
    </row>
    <row r="55" spans="2:13" ht="15.65" customHeight="1" outlineLevel="1">
      <c r="B55" s="117"/>
      <c r="C55" s="117"/>
      <c r="D55" s="95"/>
      <c r="E55" s="120"/>
      <c r="F55" s="120"/>
      <c r="G55" s="120"/>
      <c r="H55" s="168"/>
      <c r="I55" s="120"/>
      <c r="J55" s="120"/>
      <c r="K55" s="120"/>
      <c r="L55" s="120"/>
      <c r="M55" s="120"/>
    </row>
    <row r="56" spans="2:13" ht="15.65" customHeight="1" outlineLevel="1">
      <c r="C56" s="1" t="s">
        <v>14</v>
      </c>
      <c r="D56" s="44" t="s">
        <v>66</v>
      </c>
      <c r="E56" s="123">
        <v>500</v>
      </c>
      <c r="F56" s="124">
        <f>E56*(1+F57)</f>
        <v>580</v>
      </c>
      <c r="G56" s="124">
        <f t="shared" ref="G56:M56" si="1">F56*(1+G57)</f>
        <v>667</v>
      </c>
      <c r="H56" s="158">
        <f t="shared" si="1"/>
        <v>821.99245126183848</v>
      </c>
      <c r="I56" s="124">
        <f t="shared" si="1"/>
        <v>945.29131895111414</v>
      </c>
      <c r="J56" s="124">
        <f t="shared" si="1"/>
        <v>1082.3585601990258</v>
      </c>
      <c r="K56" s="102">
        <f t="shared" si="1"/>
        <v>1233.8887586268895</v>
      </c>
      <c r="L56" s="102">
        <f t="shared" si="1"/>
        <v>1400.4637410415196</v>
      </c>
      <c r="M56" s="102">
        <f t="shared" si="1"/>
        <v>1571.1913080242789</v>
      </c>
    </row>
    <row r="57" spans="2:13" ht="15.65" customHeight="1" outlineLevel="1">
      <c r="C57" s="98" t="s">
        <v>164</v>
      </c>
      <c r="D57" s="44" t="s">
        <v>63</v>
      </c>
      <c r="F57" s="112">
        <v>0.16</v>
      </c>
      <c r="G57" s="112">
        <v>0.15</v>
      </c>
      <c r="H57" s="112">
        <v>0.23237249064743415</v>
      </c>
      <c r="I57" s="113">
        <v>0.15</v>
      </c>
      <c r="J57" s="112">
        <v>0.14499999999999999</v>
      </c>
      <c r="K57" s="112">
        <v>0.14000000000000001</v>
      </c>
      <c r="L57" s="112">
        <v>0.13500000000000001</v>
      </c>
      <c r="M57" s="112">
        <v>0.12190788092506395</v>
      </c>
    </row>
    <row r="58" spans="2:13" ht="15.65" customHeight="1" outlineLevel="1">
      <c r="H58" s="159"/>
    </row>
    <row r="59" spans="2:13" ht="15.65" customHeight="1" outlineLevel="1">
      <c r="C59" s="65" t="s">
        <v>10</v>
      </c>
      <c r="D59" s="44" t="s">
        <v>66</v>
      </c>
      <c r="E59" s="204">
        <v>100</v>
      </c>
      <c r="F59" s="77">
        <f>F60*F56</f>
        <v>120</v>
      </c>
      <c r="G59" s="77">
        <f t="shared" ref="G59:M59" si="2">G60*G56</f>
        <v>140</v>
      </c>
      <c r="H59" s="160">
        <f t="shared" si="2"/>
        <v>179.99999999999997</v>
      </c>
      <c r="I59" s="77">
        <f t="shared" si="2"/>
        <v>207.96409016924514</v>
      </c>
      <c r="J59" s="77">
        <f t="shared" si="2"/>
        <v>243.53067604478082</v>
      </c>
      <c r="K59" s="81">
        <f t="shared" si="2"/>
        <v>283.79441448418464</v>
      </c>
      <c r="L59" s="81">
        <f t="shared" si="2"/>
        <v>329.10897914475714</v>
      </c>
      <c r="M59" s="81">
        <f t="shared" si="2"/>
        <v>377.08591392582701</v>
      </c>
    </row>
    <row r="60" spans="2:13" ht="15.65" customHeight="1" outlineLevel="1">
      <c r="C60" s="98" t="s">
        <v>163</v>
      </c>
      <c r="D60" s="44" t="s">
        <v>63</v>
      </c>
      <c r="E60" s="205">
        <f>E59/E56</f>
        <v>0.2</v>
      </c>
      <c r="F60" s="112">
        <v>0.20689655172413793</v>
      </c>
      <c r="G60" s="112">
        <v>0.20989505247376311</v>
      </c>
      <c r="H60" s="112">
        <v>0.21898011316731977</v>
      </c>
      <c r="I60" s="113">
        <v>0.22000000000000003</v>
      </c>
      <c r="J60" s="112">
        <v>0.22500000000000003</v>
      </c>
      <c r="K60" s="112">
        <v>0.23000000000000004</v>
      </c>
      <c r="L60" s="112">
        <v>0.23500000000000004</v>
      </c>
      <c r="M60" s="112">
        <v>0.24000000000000005</v>
      </c>
    </row>
    <row r="61" spans="2:13" ht="15.65" customHeight="1" outlineLevel="1">
      <c r="H61" s="159"/>
    </row>
    <row r="62" spans="2:13" ht="15.65" customHeight="1" outlineLevel="1">
      <c r="C62" s="65" t="s">
        <v>32</v>
      </c>
      <c r="D62" s="44" t="s">
        <v>66</v>
      </c>
      <c r="E62" s="77">
        <f>-E63*E56</f>
        <v>-25</v>
      </c>
      <c r="F62" s="77">
        <f t="shared" ref="F62:M62" si="3">-F63*F56</f>
        <v>-29</v>
      </c>
      <c r="G62" s="77">
        <f t="shared" si="3"/>
        <v>-33.35</v>
      </c>
      <c r="H62" s="160">
        <f t="shared" si="3"/>
        <v>-41.099622563091927</v>
      </c>
      <c r="I62" s="77">
        <f t="shared" si="3"/>
        <v>-44.428691990702362</v>
      </c>
      <c r="J62" s="77">
        <f t="shared" si="3"/>
        <v>-48.706135208956155</v>
      </c>
      <c r="K62" s="81">
        <f t="shared" si="3"/>
        <v>-53.057216620956247</v>
      </c>
      <c r="L62" s="81">
        <f t="shared" si="3"/>
        <v>-56.018549641660783</v>
      </c>
      <c r="M62" s="81">
        <f t="shared" si="3"/>
        <v>-58.134078396898317</v>
      </c>
    </row>
    <row r="63" spans="2:13" ht="15.65" customHeight="1" outlineLevel="1">
      <c r="C63" s="98" t="s">
        <v>163</v>
      </c>
      <c r="D63" s="44" t="s">
        <v>63</v>
      </c>
      <c r="E63" s="112">
        <v>0.05</v>
      </c>
      <c r="F63" s="112">
        <f>+E63</f>
        <v>0.05</v>
      </c>
      <c r="G63" s="112">
        <f t="shared" ref="G63:H63" si="4">+F63</f>
        <v>0.05</v>
      </c>
      <c r="H63" s="112">
        <f t="shared" si="4"/>
        <v>0.05</v>
      </c>
      <c r="I63" s="113">
        <v>4.7E-2</v>
      </c>
      <c r="J63" s="112">
        <v>4.4999999999999998E-2</v>
      </c>
      <c r="K63" s="112">
        <v>4.2999999999999997E-2</v>
      </c>
      <c r="L63" s="112">
        <v>0.04</v>
      </c>
      <c r="M63" s="112">
        <v>3.6999999999999998E-2</v>
      </c>
    </row>
    <row r="64" spans="2:13" ht="15.65" customHeight="1" outlineLevel="1">
      <c r="E64" s="104"/>
      <c r="H64" s="159"/>
    </row>
    <row r="65" spans="3:13" ht="15.65" customHeight="1" outlineLevel="1">
      <c r="C65" s="1" t="s">
        <v>201</v>
      </c>
      <c r="D65" s="44" t="s">
        <v>66</v>
      </c>
      <c r="E65" s="74">
        <f>E59+E62</f>
        <v>75</v>
      </c>
      <c r="F65" s="74">
        <f t="shared" ref="F65:M65" si="5">F59+F62</f>
        <v>91</v>
      </c>
      <c r="G65" s="74">
        <f t="shared" si="5"/>
        <v>106.65</v>
      </c>
      <c r="H65" s="135">
        <f t="shared" si="5"/>
        <v>138.90037743690806</v>
      </c>
      <c r="I65" s="74">
        <f t="shared" si="5"/>
        <v>163.53539817854278</v>
      </c>
      <c r="J65" s="74">
        <f t="shared" si="5"/>
        <v>194.82454083582468</v>
      </c>
      <c r="K65" s="74">
        <f t="shared" si="5"/>
        <v>230.7371978632284</v>
      </c>
      <c r="L65" s="74">
        <f t="shared" si="5"/>
        <v>273.09042950309635</v>
      </c>
      <c r="M65" s="74">
        <f t="shared" si="5"/>
        <v>318.95183552892871</v>
      </c>
    </row>
    <row r="66" spans="3:13" ht="15.65" customHeight="1" outlineLevel="1">
      <c r="C66" s="99" t="s">
        <v>33</v>
      </c>
      <c r="D66" s="59" t="s">
        <v>66</v>
      </c>
      <c r="E66" s="203">
        <v>0</v>
      </c>
      <c r="F66" s="82">
        <f t="shared" ref="F66:M66" si="6">-E82*Interest_Rate</f>
        <v>-40</v>
      </c>
      <c r="G66" s="82">
        <f t="shared" si="6"/>
        <v>-39.075000000000003</v>
      </c>
      <c r="H66" s="161">
        <f t="shared" si="6"/>
        <v>-37.341875000000002</v>
      </c>
      <c r="I66" s="82">
        <f t="shared" si="6"/>
        <v>-33.834949573541088</v>
      </c>
      <c r="J66" s="82">
        <f t="shared" si="6"/>
        <v>-28.644814259131309</v>
      </c>
      <c r="K66" s="92">
        <f t="shared" si="6"/>
        <v>-21.05194828677492</v>
      </c>
      <c r="L66" s="92">
        <f t="shared" si="6"/>
        <v>-10.50788735477385</v>
      </c>
      <c r="M66" s="92">
        <f t="shared" si="6"/>
        <v>0</v>
      </c>
    </row>
    <row r="67" spans="3:13" ht="15.65" customHeight="1" outlineLevel="1">
      <c r="C67" s="1" t="s">
        <v>16</v>
      </c>
      <c r="D67" s="44" t="s">
        <v>66</v>
      </c>
      <c r="E67" s="86">
        <f>SUM(E65:E66)</f>
        <v>75</v>
      </c>
      <c r="F67" s="86">
        <f t="shared" ref="F67" si="7">SUM(F65:F66)</f>
        <v>51</v>
      </c>
      <c r="G67" s="86">
        <f t="shared" ref="G67" si="8">SUM(G65:G66)</f>
        <v>67.575000000000003</v>
      </c>
      <c r="H67" s="162">
        <f t="shared" ref="H67" si="9">SUM(H65:H66)</f>
        <v>101.55850243690806</v>
      </c>
      <c r="I67" s="86">
        <f t="shared" ref="I67" si="10">SUM(I65:I66)</f>
        <v>129.7004486050017</v>
      </c>
      <c r="J67" s="86">
        <f t="shared" ref="J67" si="11">SUM(J65:J66)</f>
        <v>166.17972657669338</v>
      </c>
      <c r="K67" s="90">
        <f t="shared" ref="K67" si="12">SUM(K65:K66)</f>
        <v>209.68524957645349</v>
      </c>
      <c r="L67" s="90">
        <f t="shared" ref="L67" si="13">SUM(L65:L66)</f>
        <v>262.58254214832249</v>
      </c>
      <c r="M67" s="90">
        <f t="shared" ref="M67" si="14">SUM(M65:M66)</f>
        <v>318.95183552892871</v>
      </c>
    </row>
    <row r="68" spans="3:13" ht="15.65" customHeight="1" outlineLevel="1">
      <c r="C68" s="99" t="s">
        <v>155</v>
      </c>
      <c r="D68" s="59" t="s">
        <v>66</v>
      </c>
      <c r="E68" s="114">
        <f t="shared" ref="E68:M68" si="15">-E67*Tax_Rate</f>
        <v>-18.75</v>
      </c>
      <c r="F68" s="114">
        <f t="shared" si="15"/>
        <v>-12.75</v>
      </c>
      <c r="G68" s="114">
        <f t="shared" si="15"/>
        <v>-16.893750000000001</v>
      </c>
      <c r="H68" s="163">
        <f t="shared" si="15"/>
        <v>-25.389625609227014</v>
      </c>
      <c r="I68" s="114">
        <f t="shared" si="15"/>
        <v>-32.425112151250424</v>
      </c>
      <c r="J68" s="114">
        <f t="shared" si="15"/>
        <v>-41.544931644173346</v>
      </c>
      <c r="K68" s="92">
        <f t="shared" si="15"/>
        <v>-52.421312394113372</v>
      </c>
      <c r="L68" s="92">
        <f t="shared" si="15"/>
        <v>-65.645635537080622</v>
      </c>
      <c r="M68" s="92">
        <f t="shared" si="15"/>
        <v>-79.737958882232178</v>
      </c>
    </row>
    <row r="69" spans="3:13" ht="15.65" customHeight="1" outlineLevel="1">
      <c r="C69" s="1" t="s">
        <v>6</v>
      </c>
      <c r="D69" s="44" t="s">
        <v>66</v>
      </c>
      <c r="E69" s="86">
        <f>SUM(E67:E68)</f>
        <v>56.25</v>
      </c>
      <c r="F69" s="86">
        <f t="shared" ref="F69" si="16">SUM(F67:F68)</f>
        <v>38.25</v>
      </c>
      <c r="G69" s="86">
        <f t="shared" ref="G69" si="17">SUM(G67:G68)</f>
        <v>50.681250000000006</v>
      </c>
      <c r="H69" s="162">
        <f t="shared" ref="H69" si="18">SUM(H67:H68)</f>
        <v>76.168876827681046</v>
      </c>
      <c r="I69" s="86">
        <f t="shared" ref="I69" si="19">SUM(I67:I68)</f>
        <v>97.275336453751265</v>
      </c>
      <c r="J69" s="86">
        <f t="shared" ref="J69" si="20">SUM(J67:J68)</f>
        <v>124.63479493252004</v>
      </c>
      <c r="K69" s="90">
        <f t="shared" ref="K69" si="21">SUM(K67:K68)</f>
        <v>157.2639371823401</v>
      </c>
      <c r="L69" s="90">
        <f t="shared" ref="L69" si="22">SUM(L67:L68)</f>
        <v>196.93690661124185</v>
      </c>
      <c r="M69" s="90">
        <f t="shared" ref="M69" si="23">SUM(M67:M68)</f>
        <v>239.21387664669652</v>
      </c>
    </row>
    <row r="70" spans="3:13" ht="15.65" customHeight="1" outlineLevel="1">
      <c r="H70" s="159"/>
      <c r="K70" s="81"/>
      <c r="L70" s="81"/>
      <c r="M70" s="81"/>
    </row>
    <row r="71" spans="3:13" ht="15.65" customHeight="1" outlineLevel="1">
      <c r="C71" s="65" t="s">
        <v>36</v>
      </c>
      <c r="D71" s="44" t="s">
        <v>66</v>
      </c>
      <c r="E71" s="78">
        <f>-E62</f>
        <v>25</v>
      </c>
      <c r="F71" s="78">
        <f t="shared" ref="F71:M71" si="24">-F62</f>
        <v>29</v>
      </c>
      <c r="G71" s="78">
        <f t="shared" si="24"/>
        <v>33.35</v>
      </c>
      <c r="H71" s="144">
        <f t="shared" si="24"/>
        <v>41.099622563091927</v>
      </c>
      <c r="I71" s="78">
        <f t="shared" si="24"/>
        <v>44.428691990702362</v>
      </c>
      <c r="J71" s="78">
        <f t="shared" si="24"/>
        <v>48.706135208956155</v>
      </c>
      <c r="K71" s="81">
        <f t="shared" si="24"/>
        <v>53.057216620956247</v>
      </c>
      <c r="L71" s="81">
        <f t="shared" si="24"/>
        <v>56.018549641660783</v>
      </c>
      <c r="M71" s="81">
        <f t="shared" si="24"/>
        <v>58.134078396898317</v>
      </c>
    </row>
    <row r="72" spans="3:13" ht="15.65" customHeight="1" outlineLevel="1">
      <c r="C72" s="65" t="s">
        <v>200</v>
      </c>
      <c r="D72" s="44" t="s">
        <v>66</v>
      </c>
      <c r="E72" s="77">
        <f>-E73*E56</f>
        <v>-50</v>
      </c>
      <c r="F72" s="77">
        <f t="shared" ref="F72:M72" si="25">-F73*F56</f>
        <v>-58</v>
      </c>
      <c r="G72" s="77">
        <f t="shared" si="25"/>
        <v>-66.7</v>
      </c>
      <c r="H72" s="160">
        <f t="shared" si="25"/>
        <v>-82.199245126183854</v>
      </c>
      <c r="I72" s="77">
        <f t="shared" si="25"/>
        <v>-89.802675300355844</v>
      </c>
      <c r="J72" s="77">
        <f t="shared" si="25"/>
        <v>-97.41227041791231</v>
      </c>
      <c r="K72" s="81">
        <f t="shared" si="25"/>
        <v>-104.88054448328562</v>
      </c>
      <c r="L72" s="81">
        <f t="shared" si="25"/>
        <v>-112.03709928332157</v>
      </c>
      <c r="M72" s="81">
        <f t="shared" si="25"/>
        <v>-117.83934810182092</v>
      </c>
    </row>
    <row r="73" spans="3:13" ht="15.65" customHeight="1" outlineLevel="1">
      <c r="C73" s="98" t="s">
        <v>163</v>
      </c>
      <c r="D73" s="44" t="s">
        <v>63</v>
      </c>
      <c r="E73" s="112">
        <v>0.1</v>
      </c>
      <c r="F73" s="112">
        <v>0.1</v>
      </c>
      <c r="G73" s="112">
        <v>0.1</v>
      </c>
      <c r="H73" s="164">
        <v>0.1</v>
      </c>
      <c r="I73" s="113">
        <v>9.5000000000000001E-2</v>
      </c>
      <c r="J73" s="112">
        <v>0.09</v>
      </c>
      <c r="K73" s="112">
        <v>8.5000000000000006E-2</v>
      </c>
      <c r="L73" s="112">
        <v>0.08</v>
      </c>
      <c r="M73" s="112">
        <v>7.4999999999999997E-2</v>
      </c>
    </row>
    <row r="74" spans="3:13" ht="15.65" customHeight="1" outlineLevel="1">
      <c r="E74" s="115"/>
      <c r="F74" s="115"/>
      <c r="G74" s="115"/>
      <c r="H74" s="165"/>
      <c r="I74" s="115"/>
      <c r="J74" s="115"/>
      <c r="K74" s="105"/>
      <c r="L74" s="105"/>
      <c r="M74" s="105"/>
    </row>
    <row r="75" spans="3:13" ht="15.65" customHeight="1" outlineLevel="1">
      <c r="C75" s="98" t="s">
        <v>41</v>
      </c>
      <c r="D75" s="44" t="s">
        <v>66</v>
      </c>
      <c r="F75" s="93">
        <f>E83</f>
        <v>30</v>
      </c>
      <c r="G75" s="93">
        <f t="shared" ref="G75:M75" si="26">F83</f>
        <v>30</v>
      </c>
      <c r="H75" s="141">
        <f t="shared" si="26"/>
        <v>30</v>
      </c>
      <c r="I75" s="93">
        <f t="shared" si="26"/>
        <v>30</v>
      </c>
      <c r="J75" s="93">
        <f t="shared" si="26"/>
        <v>30</v>
      </c>
      <c r="K75" s="93">
        <f t="shared" si="26"/>
        <v>30</v>
      </c>
      <c r="L75" s="93">
        <f t="shared" si="26"/>
        <v>30.000000000000014</v>
      </c>
      <c r="M75" s="93">
        <f t="shared" si="26"/>
        <v>65.839483421842615</v>
      </c>
    </row>
    <row r="76" spans="3:13" ht="15.65" customHeight="1" outlineLevel="1">
      <c r="C76" s="98" t="s">
        <v>42</v>
      </c>
      <c r="D76" s="44" t="s">
        <v>66</v>
      </c>
      <c r="F76" s="93">
        <f>F69+F71+F72</f>
        <v>9.25</v>
      </c>
      <c r="G76" s="93">
        <f t="shared" ref="G76:M76" si="27">G69+G71+G72</f>
        <v>17.331249999999997</v>
      </c>
      <c r="H76" s="141">
        <f t="shared" si="27"/>
        <v>35.069254264589119</v>
      </c>
      <c r="I76" s="93">
        <f t="shared" si="27"/>
        <v>51.901353144097783</v>
      </c>
      <c r="J76" s="93">
        <f t="shared" si="27"/>
        <v>75.928659723563868</v>
      </c>
      <c r="K76" s="93">
        <f t="shared" si="27"/>
        <v>105.44060932001072</v>
      </c>
      <c r="L76" s="93">
        <f t="shared" si="27"/>
        <v>140.91835696958108</v>
      </c>
      <c r="M76" s="93">
        <f t="shared" si="27"/>
        <v>179.50860694177391</v>
      </c>
    </row>
    <row r="77" spans="3:13" ht="15.65" customHeight="1" outlineLevel="1">
      <c r="C77" s="98" t="s">
        <v>43</v>
      </c>
      <c r="D77" s="59" t="s">
        <v>66</v>
      </c>
      <c r="E77" s="125"/>
      <c r="F77" s="93">
        <f>-$E$36</f>
        <v>-30</v>
      </c>
      <c r="G77" s="93">
        <f t="shared" ref="G77:M77" si="28">-$E$36</f>
        <v>-30</v>
      </c>
      <c r="H77" s="141">
        <f t="shared" si="28"/>
        <v>-30</v>
      </c>
      <c r="I77" s="93">
        <f t="shared" si="28"/>
        <v>-30</v>
      </c>
      <c r="J77" s="93">
        <f t="shared" si="28"/>
        <v>-30</v>
      </c>
      <c r="K77" s="93">
        <f t="shared" si="28"/>
        <v>-30</v>
      </c>
      <c r="L77" s="93">
        <f t="shared" si="28"/>
        <v>-30</v>
      </c>
      <c r="M77" s="93">
        <f t="shared" si="28"/>
        <v>-30</v>
      </c>
    </row>
    <row r="78" spans="3:13" ht="15.65" customHeight="1" outlineLevel="1">
      <c r="C78" s="21" t="s">
        <v>173</v>
      </c>
      <c r="D78" s="44" t="s">
        <v>66</v>
      </c>
      <c r="F78" s="140">
        <f>SUM(F75:F77)</f>
        <v>9.25</v>
      </c>
      <c r="G78" s="140">
        <f t="shared" ref="G78:M78" si="29">SUM(G75:G77)</f>
        <v>17.331249999999997</v>
      </c>
      <c r="H78" s="142">
        <f t="shared" si="29"/>
        <v>35.069254264589119</v>
      </c>
      <c r="I78" s="140">
        <f t="shared" si="29"/>
        <v>51.901353144097783</v>
      </c>
      <c r="J78" s="140">
        <f t="shared" si="29"/>
        <v>75.928659723563868</v>
      </c>
      <c r="K78" s="140">
        <f t="shared" si="29"/>
        <v>105.44060932001071</v>
      </c>
      <c r="L78" s="140">
        <f t="shared" si="29"/>
        <v>140.91835696958111</v>
      </c>
      <c r="M78" s="140">
        <f t="shared" si="29"/>
        <v>215.34809036361651</v>
      </c>
    </row>
    <row r="79" spans="3:13" ht="15.65" customHeight="1" outlineLevel="1">
      <c r="G79" s="93"/>
      <c r="H79" s="141"/>
      <c r="I79" s="93"/>
      <c r="J79" s="93"/>
      <c r="K79" s="93"/>
      <c r="L79" s="105"/>
      <c r="M79" s="105"/>
    </row>
    <row r="80" spans="3:13" ht="15.65" customHeight="1" outlineLevel="1">
      <c r="C80" s="65" t="s">
        <v>174</v>
      </c>
      <c r="D80" s="44" t="s">
        <v>66</v>
      </c>
      <c r="F80" s="93">
        <f>MIN(E82,F78)</f>
        <v>9.25</v>
      </c>
      <c r="G80" s="93">
        <f t="shared" ref="G80:M80" si="30">MIN(F82,G78)</f>
        <v>17.331249999999997</v>
      </c>
      <c r="H80" s="141">
        <f t="shared" si="30"/>
        <v>35.069254264589119</v>
      </c>
      <c r="I80" s="93">
        <f t="shared" si="30"/>
        <v>51.901353144097783</v>
      </c>
      <c r="J80" s="93">
        <f t="shared" si="30"/>
        <v>75.928659723563868</v>
      </c>
      <c r="K80" s="93">
        <f t="shared" si="30"/>
        <v>105.44060932001071</v>
      </c>
      <c r="L80" s="93">
        <f t="shared" si="30"/>
        <v>105.07887354773848</v>
      </c>
      <c r="M80" s="93">
        <f t="shared" si="30"/>
        <v>0</v>
      </c>
    </row>
    <row r="81" spans="3:13" ht="15.65" customHeight="1" outlineLevel="1">
      <c r="E81" s="139"/>
      <c r="F81" s="139"/>
      <c r="G81" s="139"/>
      <c r="H81" s="143"/>
      <c r="I81" s="139"/>
      <c r="J81" s="139"/>
      <c r="K81" s="139"/>
      <c r="L81" s="139"/>
      <c r="M81" s="139"/>
    </row>
    <row r="82" spans="3:13" ht="15.65" customHeight="1" outlineLevel="1">
      <c r="C82" s="65" t="s">
        <v>7</v>
      </c>
      <c r="D82" s="44" t="s">
        <v>66</v>
      </c>
      <c r="E82" s="78">
        <f>E40</f>
        <v>400</v>
      </c>
      <c r="F82" s="78">
        <f>E82-F80</f>
        <v>390.75</v>
      </c>
      <c r="G82" s="78">
        <f t="shared" ref="G82:M82" si="31">F82-G80</f>
        <v>373.41874999999999</v>
      </c>
      <c r="H82" s="144">
        <f t="shared" si="31"/>
        <v>338.34949573541087</v>
      </c>
      <c r="I82" s="78">
        <f t="shared" si="31"/>
        <v>286.44814259131306</v>
      </c>
      <c r="J82" s="78">
        <f t="shared" si="31"/>
        <v>210.51948286774919</v>
      </c>
      <c r="K82" s="78">
        <f t="shared" si="31"/>
        <v>105.07887354773848</v>
      </c>
      <c r="L82" s="78">
        <f t="shared" si="31"/>
        <v>0</v>
      </c>
      <c r="M82" s="78">
        <f t="shared" si="31"/>
        <v>0</v>
      </c>
    </row>
    <row r="83" spans="3:13" ht="15.65" customHeight="1" outlineLevel="1">
      <c r="C83" s="65" t="s">
        <v>19</v>
      </c>
      <c r="D83" s="44" t="s">
        <v>66</v>
      </c>
      <c r="E83" s="78">
        <f>E36</f>
        <v>30</v>
      </c>
      <c r="F83" s="78">
        <f>E83+(F76-F80)</f>
        <v>30</v>
      </c>
      <c r="G83" s="78">
        <f t="shared" ref="G83:M83" si="32">F83+(G76-G80)</f>
        <v>30</v>
      </c>
      <c r="H83" s="144">
        <f t="shared" si="32"/>
        <v>30</v>
      </c>
      <c r="I83" s="78">
        <f t="shared" si="32"/>
        <v>30</v>
      </c>
      <c r="J83" s="78">
        <f t="shared" si="32"/>
        <v>30</v>
      </c>
      <c r="K83" s="78">
        <f t="shared" si="32"/>
        <v>30.000000000000014</v>
      </c>
      <c r="L83" s="78">
        <f t="shared" si="32"/>
        <v>65.839483421842615</v>
      </c>
      <c r="M83" s="78">
        <f t="shared" si="32"/>
        <v>245.34809036361651</v>
      </c>
    </row>
    <row r="84" spans="3:13" ht="15.65" customHeight="1" outlineLevel="1">
      <c r="H84" s="159"/>
    </row>
    <row r="85" spans="3:13" ht="15.65" customHeight="1" outlineLevel="1">
      <c r="C85" s="65" t="s">
        <v>10</v>
      </c>
      <c r="D85" s="44" t="s">
        <v>66</v>
      </c>
      <c r="E85" s="81">
        <f>E59</f>
        <v>100</v>
      </c>
      <c r="F85" s="81">
        <f>F59</f>
        <v>120</v>
      </c>
      <c r="G85" s="81">
        <f t="shared" ref="G85:M85" si="33">G59</f>
        <v>140</v>
      </c>
      <c r="H85" s="166">
        <f t="shared" si="33"/>
        <v>179.99999999999997</v>
      </c>
      <c r="I85" s="81">
        <f t="shared" si="33"/>
        <v>207.96409016924514</v>
      </c>
      <c r="J85" s="81">
        <f t="shared" si="33"/>
        <v>243.53067604478082</v>
      </c>
      <c r="K85" s="81">
        <f t="shared" si="33"/>
        <v>283.79441448418464</v>
      </c>
      <c r="L85" s="81">
        <f t="shared" si="33"/>
        <v>329.10897914475714</v>
      </c>
      <c r="M85" s="81">
        <f t="shared" si="33"/>
        <v>377.08591392582701</v>
      </c>
    </row>
    <row r="86" spans="3:13" ht="15.65" customHeight="1" outlineLevel="1">
      <c r="C86" s="99" t="s">
        <v>166</v>
      </c>
      <c r="D86" s="68" t="s">
        <v>69</v>
      </c>
      <c r="E86" s="145">
        <f>Initial_Multiple</f>
        <v>10</v>
      </c>
      <c r="F86" s="145">
        <f t="shared" ref="F86" si="34">E86+Multiple_Increment</f>
        <v>10.25</v>
      </c>
      <c r="G86" s="145">
        <f t="shared" ref="G86" si="35">F86+Multiple_Increment</f>
        <v>10.5</v>
      </c>
      <c r="H86" s="145">
        <f t="shared" ref="H86" si="36">G86+Multiple_Increment</f>
        <v>10.75</v>
      </c>
      <c r="I86" s="157">
        <f t="shared" ref="I86" si="37">H86+Multiple_Increment</f>
        <v>11</v>
      </c>
      <c r="J86" s="145">
        <f t="shared" ref="J86" si="38">I86+Multiple_Increment</f>
        <v>11.25</v>
      </c>
      <c r="K86" s="145">
        <f t="shared" ref="K86" si="39">J86+Multiple_Increment</f>
        <v>11.5</v>
      </c>
      <c r="L86" s="145">
        <f t="shared" ref="L86" si="40">K86+Multiple_Increment</f>
        <v>11.75</v>
      </c>
      <c r="M86" s="145">
        <f t="shared" ref="M86" si="41">L86+Multiple_Increment</f>
        <v>12</v>
      </c>
    </row>
    <row r="87" spans="3:13" ht="15.65" customHeight="1" outlineLevel="1">
      <c r="C87" s="1" t="s">
        <v>18</v>
      </c>
      <c r="D87" s="44" t="s">
        <v>66</v>
      </c>
      <c r="E87" s="74">
        <f>E85*E86</f>
        <v>1000</v>
      </c>
      <c r="F87" s="74">
        <f t="shared" ref="F87" si="42">F85*F86</f>
        <v>1230</v>
      </c>
      <c r="G87" s="74">
        <f t="shared" ref="G87" si="43">G85*G86</f>
        <v>1470</v>
      </c>
      <c r="H87" s="135">
        <f t="shared" ref="H87" si="44">H85*H86</f>
        <v>1934.9999999999998</v>
      </c>
      <c r="I87" s="74">
        <f t="shared" ref="I87" si="45">I85*I86</f>
        <v>2287.6049918616964</v>
      </c>
      <c r="J87" s="74">
        <f t="shared" ref="J87" si="46">J85*J86</f>
        <v>2739.720105503784</v>
      </c>
      <c r="K87" s="90">
        <f t="shared" ref="K87" si="47">K85*K86</f>
        <v>3263.6357665681235</v>
      </c>
      <c r="L87" s="90">
        <f t="shared" ref="L87" si="48">L85*L86</f>
        <v>3867.0305049508966</v>
      </c>
      <c r="M87" s="90">
        <f t="shared" ref="M87" si="49">M85*M86</f>
        <v>4525.0309671099239</v>
      </c>
    </row>
    <row r="88" spans="3:13" ht="15.65" customHeight="1" outlineLevel="1">
      <c r="E88" s="93"/>
      <c r="F88" s="93"/>
      <c r="G88" s="93"/>
      <c r="H88" s="141"/>
      <c r="I88" s="93"/>
      <c r="J88" s="93"/>
      <c r="K88" s="81"/>
      <c r="L88" s="81"/>
      <c r="M88" s="81"/>
    </row>
    <row r="89" spans="3:13" ht="15.65" customHeight="1" outlineLevel="1">
      <c r="C89" s="65" t="s">
        <v>196</v>
      </c>
      <c r="D89" s="44" t="s">
        <v>66</v>
      </c>
      <c r="E89" s="93">
        <f>$J$22</f>
        <v>648</v>
      </c>
      <c r="F89" s="93">
        <f t="shared" ref="F89:H89" si="50">$J$22</f>
        <v>648</v>
      </c>
      <c r="G89" s="93">
        <f t="shared" si="50"/>
        <v>648</v>
      </c>
      <c r="H89" s="93">
        <f t="shared" si="50"/>
        <v>648</v>
      </c>
      <c r="I89" s="199">
        <f>$D$49</f>
        <v>1626.650504264589</v>
      </c>
      <c r="J89" s="197">
        <f t="shared" ref="J89:M89" si="51">$D$49</f>
        <v>1626.650504264589</v>
      </c>
      <c r="K89" s="197">
        <f t="shared" si="51"/>
        <v>1626.650504264589</v>
      </c>
      <c r="L89" s="197">
        <f t="shared" si="51"/>
        <v>1626.650504264589</v>
      </c>
      <c r="M89" s="197">
        <f t="shared" si="51"/>
        <v>1626.650504264589</v>
      </c>
    </row>
    <row r="90" spans="3:13" ht="15.65" customHeight="1" outlineLevel="1">
      <c r="C90" s="99" t="s">
        <v>167</v>
      </c>
      <c r="D90" s="59" t="s">
        <v>66</v>
      </c>
      <c r="E90" s="203">
        <v>0</v>
      </c>
      <c r="F90" s="203">
        <v>0</v>
      </c>
      <c r="G90" s="203">
        <v>0</v>
      </c>
      <c r="H90" s="203">
        <v>0</v>
      </c>
      <c r="I90" s="200">
        <f>-GP_Carry_Roll</f>
        <v>-195.73010085291781</v>
      </c>
      <c r="J90" s="198">
        <f>-GP_Carry_Roll</f>
        <v>-195.73010085291781</v>
      </c>
      <c r="K90" s="198">
        <f>-GP_Carry_Roll</f>
        <v>-195.73010085291781</v>
      </c>
      <c r="L90" s="198">
        <f>-GP_Carry_Roll</f>
        <v>-195.73010085291781</v>
      </c>
      <c r="M90" s="198">
        <f>-GP_Carry_Roll</f>
        <v>-195.73010085291781</v>
      </c>
    </row>
    <row r="91" spans="3:13" ht="15.65" customHeight="1" outlineLevel="1">
      <c r="C91" s="1" t="s">
        <v>142</v>
      </c>
      <c r="D91" s="44" t="s">
        <v>66</v>
      </c>
      <c r="E91" s="74">
        <f>SUM(E89:E90)</f>
        <v>648</v>
      </c>
      <c r="F91" s="74">
        <f t="shared" ref="F91:H91" si="52">SUM(F89:F90)</f>
        <v>648</v>
      </c>
      <c r="G91" s="74">
        <f t="shared" si="52"/>
        <v>648</v>
      </c>
      <c r="H91" s="135">
        <f t="shared" si="52"/>
        <v>648</v>
      </c>
      <c r="I91" s="74">
        <f>SUM(I89:I90)</f>
        <v>1430.9204034116713</v>
      </c>
      <c r="J91" s="74">
        <f t="shared" ref="J91:M91" si="53">SUM(J89:J90)</f>
        <v>1430.9204034116713</v>
      </c>
      <c r="K91" s="90">
        <f t="shared" si="53"/>
        <v>1430.9204034116713</v>
      </c>
      <c r="L91" s="90">
        <f t="shared" si="53"/>
        <v>1430.9204034116713</v>
      </c>
      <c r="M91" s="90">
        <f t="shared" si="53"/>
        <v>1430.9204034116713</v>
      </c>
    </row>
    <row r="92" spans="3:13" ht="15.65" customHeight="1" outlineLevel="1">
      <c r="E92" s="93"/>
      <c r="F92" s="93"/>
      <c r="G92" s="93"/>
      <c r="H92" s="141"/>
      <c r="I92" s="93"/>
      <c r="J92" s="93"/>
      <c r="K92" s="81"/>
      <c r="L92" s="81"/>
      <c r="M92" s="81"/>
    </row>
    <row r="93" spans="3:13" ht="15.65" customHeight="1" outlineLevel="1">
      <c r="C93" s="65" t="s">
        <v>129</v>
      </c>
      <c r="D93" s="44" t="s">
        <v>66</v>
      </c>
      <c r="E93" s="93">
        <f>E87-E82+E83</f>
        <v>630</v>
      </c>
      <c r="F93" s="93">
        <f t="shared" ref="F93:I93" si="54">F87-F82+F83</f>
        <v>869.25</v>
      </c>
      <c r="G93" s="93">
        <f t="shared" si="54"/>
        <v>1126.58125</v>
      </c>
      <c r="H93" s="141">
        <f t="shared" si="54"/>
        <v>1626.650504264589</v>
      </c>
      <c r="I93" s="93">
        <f t="shared" si="54"/>
        <v>2031.1568492703832</v>
      </c>
      <c r="J93" s="93">
        <f t="shared" ref="J93:M93" si="55">J87-J82+J83</f>
        <v>2559.200622636035</v>
      </c>
      <c r="K93" s="81">
        <f t="shared" si="55"/>
        <v>3188.5568930203849</v>
      </c>
      <c r="L93" s="81">
        <f t="shared" si="55"/>
        <v>3932.869988372739</v>
      </c>
      <c r="M93" s="81">
        <f t="shared" si="55"/>
        <v>4770.3790574735403</v>
      </c>
    </row>
    <row r="94" spans="3:13" ht="15.65" customHeight="1" outlineLevel="1">
      <c r="C94" s="99" t="s">
        <v>176</v>
      </c>
      <c r="D94" s="59" t="s">
        <v>66</v>
      </c>
      <c r="E94" s="203">
        <v>0</v>
      </c>
      <c r="F94" s="203">
        <v>0</v>
      </c>
      <c r="G94" s="203">
        <v>0</v>
      </c>
      <c r="H94" s="203">
        <v>0</v>
      </c>
      <c r="I94" s="116">
        <f>-(GP_Carry_Roll/$D$49)*I93</f>
        <v>-244.40316706846852</v>
      </c>
      <c r="J94" s="116">
        <f>-(GP_Carry_Roll/$D$49)*J93</f>
        <v>-307.94113096707548</v>
      </c>
      <c r="K94" s="116">
        <f>-(GP_Carry_Roll/$D$49)*K93</f>
        <v>-383.66973151881888</v>
      </c>
      <c r="L94" s="116">
        <f>-(GP_Carry_Roll/$D$49)*L93</f>
        <v>-473.23075082660677</v>
      </c>
      <c r="M94" s="92">
        <f>-(GP_Carry_Roll/$D$49)*M93</f>
        <v>-574.00576926515214</v>
      </c>
    </row>
    <row r="95" spans="3:13" ht="15.65" customHeight="1" outlineLevel="1">
      <c r="C95" s="1" t="s">
        <v>143</v>
      </c>
      <c r="D95" s="44" t="s">
        <v>66</v>
      </c>
      <c r="E95" s="133">
        <f>SUM(E93:E94)</f>
        <v>630</v>
      </c>
      <c r="F95" s="133">
        <f t="shared" ref="F95:H95" si="56">SUM(F93:F94)</f>
        <v>869.25</v>
      </c>
      <c r="G95" s="133">
        <f t="shared" si="56"/>
        <v>1126.58125</v>
      </c>
      <c r="H95" s="167">
        <f t="shared" si="56"/>
        <v>1626.650504264589</v>
      </c>
      <c r="I95" s="133">
        <f>SUM(I93:I94)</f>
        <v>1786.7536822019147</v>
      </c>
      <c r="J95" s="133">
        <f t="shared" ref="J95:M95" si="57">SUM(J93:J94)</f>
        <v>2251.2594916689595</v>
      </c>
      <c r="K95" s="102">
        <f t="shared" si="57"/>
        <v>2804.887161501566</v>
      </c>
      <c r="L95" s="102">
        <f t="shared" si="57"/>
        <v>3459.6392375461323</v>
      </c>
      <c r="M95" s="102">
        <f t="shared" si="57"/>
        <v>4196.3732882083877</v>
      </c>
    </row>
    <row r="96" spans="3:13" ht="15.65" customHeight="1" outlineLevel="1">
      <c r="C96" s="1"/>
      <c r="E96" s="93"/>
      <c r="F96" s="93"/>
      <c r="G96" s="93"/>
      <c r="H96" s="141"/>
      <c r="I96" s="93"/>
      <c r="J96" s="93"/>
      <c r="K96" s="81"/>
      <c r="L96" s="81"/>
      <c r="M96" s="81"/>
    </row>
    <row r="97" spans="2:14" ht="15.65" customHeight="1" outlineLevel="1">
      <c r="C97" s="83" t="s">
        <v>101</v>
      </c>
      <c r="D97" s="44" t="s">
        <v>69</v>
      </c>
      <c r="E97" s="201">
        <f>E95/E91</f>
        <v>0.97222222222222221</v>
      </c>
      <c r="F97" s="201">
        <f t="shared" ref="F97:H97" si="58">F95/F91</f>
        <v>1.3414351851851851</v>
      </c>
      <c r="G97" s="201">
        <f t="shared" si="58"/>
        <v>1.7385513117283951</v>
      </c>
      <c r="H97" s="202">
        <f t="shared" si="58"/>
        <v>2.5102631238651063</v>
      </c>
      <c r="I97" s="201">
        <f>I95/I91</f>
        <v>1.2486744042099394</v>
      </c>
      <c r="J97" s="201">
        <f t="shared" ref="J97:M97" si="59">J95/J91</f>
        <v>1.5732947033960765</v>
      </c>
      <c r="K97" s="201">
        <f t="shared" si="59"/>
        <v>1.9601978941763742</v>
      </c>
      <c r="L97" s="201">
        <f t="shared" si="59"/>
        <v>2.4177719664192985</v>
      </c>
      <c r="M97" s="201">
        <f t="shared" si="59"/>
        <v>2.9326392147342277</v>
      </c>
    </row>
    <row r="98" spans="2:14" ht="15.65" customHeight="1"/>
    <row r="99" spans="2:14" ht="15.65" customHeight="1">
      <c r="B99" s="109"/>
      <c r="C99" s="109"/>
      <c r="D99" s="110"/>
      <c r="E99" s="107" t="s">
        <v>187</v>
      </c>
      <c r="F99" s="107"/>
      <c r="G99" s="108"/>
      <c r="H99" s="171"/>
      <c r="I99" s="107" t="s">
        <v>188</v>
      </c>
      <c r="J99" s="108"/>
      <c r="K99" s="108"/>
      <c r="L99" s="108"/>
      <c r="M99" s="108"/>
    </row>
    <row r="100" spans="2:14" ht="15.65" customHeight="1">
      <c r="B100" s="111" t="s">
        <v>146</v>
      </c>
      <c r="C100" s="111"/>
      <c r="D100" s="46" t="str">
        <f>$D$5</f>
        <v>Units:</v>
      </c>
      <c r="E100" s="180"/>
      <c r="F100" s="180"/>
      <c r="G100" s="180"/>
      <c r="H100" s="181">
        <f>CV_Txn_Date</f>
        <v>45382</v>
      </c>
      <c r="I100" s="180">
        <f>DATE(YEAR(H100),12,31)</f>
        <v>45657</v>
      </c>
      <c r="J100" s="182">
        <f>EOMONTH(I100,12)</f>
        <v>46022</v>
      </c>
      <c r="K100" s="180">
        <f t="shared" ref="K100:M100" si="60">EOMONTH(J100,12)</f>
        <v>46387</v>
      </c>
      <c r="L100" s="180">
        <f t="shared" si="60"/>
        <v>46752</v>
      </c>
      <c r="M100" s="180">
        <f t="shared" si="60"/>
        <v>47118</v>
      </c>
    </row>
    <row r="101" spans="2:14" ht="15.65" customHeight="1" outlineLevel="1">
      <c r="H101" s="159"/>
      <c r="I101" s="129"/>
    </row>
    <row r="102" spans="2:14" ht="15.65" customHeight="1" outlineLevel="1">
      <c r="C102" s="1" t="s">
        <v>181</v>
      </c>
      <c r="D102" s="44" t="s">
        <v>66</v>
      </c>
      <c r="E102" s="1"/>
      <c r="F102" s="1"/>
      <c r="G102" s="1"/>
      <c r="H102" s="191">
        <f t="shared" ref="H102:M102" si="61">IF(H100=CV_Txn_Date,-$D$48,0)</f>
        <v>-1430.9204034116713</v>
      </c>
      <c r="I102" s="102">
        <f t="shared" si="61"/>
        <v>0</v>
      </c>
      <c r="J102" s="102">
        <f t="shared" si="61"/>
        <v>0</v>
      </c>
      <c r="K102" s="102">
        <f t="shared" si="61"/>
        <v>0</v>
      </c>
      <c r="L102" s="102">
        <f t="shared" si="61"/>
        <v>0</v>
      </c>
      <c r="M102" s="102">
        <f t="shared" si="61"/>
        <v>0</v>
      </c>
    </row>
    <row r="103" spans="2:14" ht="15.65" customHeight="1" outlineLevel="1">
      <c r="D103" s="44"/>
      <c r="H103" s="159"/>
    </row>
    <row r="104" spans="2:14" ht="15.65" customHeight="1" outlineLevel="1">
      <c r="C104" s="98" t="s">
        <v>148</v>
      </c>
      <c r="D104" s="44" t="s">
        <v>66</v>
      </c>
      <c r="H104" s="159"/>
      <c r="I104" s="156">
        <v>0</v>
      </c>
      <c r="J104" s="152">
        <v>0</v>
      </c>
      <c r="K104" s="152">
        <v>0</v>
      </c>
      <c r="L104" s="152">
        <v>0</v>
      </c>
      <c r="M104" s="153">
        <v>0</v>
      </c>
    </row>
    <row r="105" spans="2:14" ht="15.65" customHeight="1" outlineLevel="1">
      <c r="C105" s="99" t="s">
        <v>169</v>
      </c>
      <c r="D105" s="68" t="s">
        <v>66</v>
      </c>
      <c r="E105" s="151"/>
      <c r="F105" s="151"/>
      <c r="G105" s="151"/>
      <c r="H105" s="169"/>
      <c r="I105" s="92">
        <f>IF(I100=CV_Exit_Date,I95,0)</f>
        <v>0</v>
      </c>
      <c r="J105" s="92">
        <f>IF(J100=CV_Exit_Date,J95,0)</f>
        <v>0</v>
      </c>
      <c r="K105" s="92">
        <f>IF(K100=CV_Exit_Date,K95,0)</f>
        <v>0</v>
      </c>
      <c r="L105" s="92">
        <f>IF(L100=CV_Exit_Date,L95,0)</f>
        <v>0</v>
      </c>
      <c r="M105" s="92">
        <f>IF(M100=CV_Exit_Date,M95,0)</f>
        <v>4196.3732882083877</v>
      </c>
    </row>
    <row r="106" spans="2:14" ht="15.65" customHeight="1" outlineLevel="1">
      <c r="C106" s="1" t="s">
        <v>182</v>
      </c>
      <c r="D106" s="44" t="s">
        <v>66</v>
      </c>
      <c r="E106" s="1"/>
      <c r="F106" s="1"/>
      <c r="G106" s="1"/>
      <c r="H106" s="170"/>
      <c r="I106" s="74">
        <f>SUM(I104:I105)</f>
        <v>0</v>
      </c>
      <c r="J106" s="74">
        <f t="shared" ref="J106:M106" si="62">SUM(J104:J105)</f>
        <v>0</v>
      </c>
      <c r="K106" s="74">
        <f t="shared" si="62"/>
        <v>0</v>
      </c>
      <c r="L106" s="74">
        <f t="shared" si="62"/>
        <v>0</v>
      </c>
      <c r="M106" s="74">
        <f t="shared" si="62"/>
        <v>4196.3732882083877</v>
      </c>
    </row>
    <row r="107" spans="2:14" ht="15.65" customHeight="1" outlineLevel="1">
      <c r="C107" s="98" t="s">
        <v>157</v>
      </c>
      <c r="D107" s="44" t="s">
        <v>63</v>
      </c>
      <c r="E107" s="1"/>
      <c r="F107" s="1"/>
      <c r="G107" s="1"/>
      <c r="H107" s="1"/>
      <c r="I107" s="184">
        <f>CV_Carry</f>
        <v>0.2</v>
      </c>
      <c r="J107" s="183">
        <f>CV_Carry</f>
        <v>0.2</v>
      </c>
      <c r="K107" s="183">
        <f>CV_Carry</f>
        <v>0.2</v>
      </c>
      <c r="L107" s="183">
        <f>CV_Carry</f>
        <v>0.2</v>
      </c>
      <c r="M107" s="183">
        <f>CV_Carry</f>
        <v>0.2</v>
      </c>
    </row>
    <row r="108" spans="2:14" ht="15.65" customHeight="1" outlineLevel="1">
      <c r="C108" s="99" t="s">
        <v>184</v>
      </c>
      <c r="D108" s="68" t="s">
        <v>66</v>
      </c>
      <c r="E108" s="151"/>
      <c r="F108" s="151"/>
      <c r="G108" s="151"/>
      <c r="H108" s="169"/>
      <c r="I108" s="92">
        <f>-MAX(I106+SUM($H102:I102),0)*I107</f>
        <v>0</v>
      </c>
      <c r="J108" s="92">
        <f>-MAX(J106+SUM($H102:J102),0)*J107</f>
        <v>0</v>
      </c>
      <c r="K108" s="92">
        <f>-MAX(K106+SUM($H102:K102),0)*K107</f>
        <v>0</v>
      </c>
      <c r="L108" s="92">
        <f>-MAX(L106+SUM($H102:L102),0)*L107</f>
        <v>0</v>
      </c>
      <c r="M108" s="92">
        <f>-MAX(M106+SUM($H102:M102),0)*M107</f>
        <v>-553.09057695934337</v>
      </c>
    </row>
    <row r="109" spans="2:14" ht="15.65" customHeight="1" outlineLevel="1">
      <c r="C109" s="1" t="s">
        <v>179</v>
      </c>
      <c r="D109" s="44" t="s">
        <v>66</v>
      </c>
      <c r="E109" s="1"/>
      <c r="F109" s="1"/>
      <c r="G109" s="1"/>
      <c r="H109" s="170"/>
      <c r="I109" s="90">
        <f>I106+I108</f>
        <v>0</v>
      </c>
      <c r="J109" s="90">
        <f t="shared" ref="J109:M109" si="63">J106+J108</f>
        <v>0</v>
      </c>
      <c r="K109" s="90">
        <f t="shared" si="63"/>
        <v>0</v>
      </c>
      <c r="L109" s="90">
        <f t="shared" si="63"/>
        <v>0</v>
      </c>
      <c r="M109" s="90">
        <f t="shared" si="63"/>
        <v>3643.2827112490445</v>
      </c>
    </row>
    <row r="110" spans="2:14" ht="15.65" customHeight="1" outlineLevel="1">
      <c r="D110" s="44"/>
      <c r="H110" s="159"/>
    </row>
    <row r="111" spans="2:14" ht="15.65" customHeight="1" outlineLevel="1">
      <c r="C111" s="1" t="s">
        <v>185</v>
      </c>
      <c r="D111" s="44" t="s">
        <v>66</v>
      </c>
      <c r="E111" s="1"/>
      <c r="F111" s="1"/>
      <c r="G111" s="1"/>
      <c r="H111" s="167">
        <f>H102+H109</f>
        <v>-1430.9204034116713</v>
      </c>
      <c r="I111" s="133">
        <f t="shared" ref="I111:M111" si="64">I102+I109</f>
        <v>0</v>
      </c>
      <c r="J111" s="133">
        <f t="shared" si="64"/>
        <v>0</v>
      </c>
      <c r="K111" s="133">
        <f t="shared" si="64"/>
        <v>0</v>
      </c>
      <c r="L111" s="133">
        <f t="shared" si="64"/>
        <v>0</v>
      </c>
      <c r="M111" s="133">
        <f t="shared" si="64"/>
        <v>3643.2827112490445</v>
      </c>
      <c r="N111" s="1"/>
    </row>
    <row r="112" spans="2:14" ht="15.65" customHeight="1" outlineLevel="1"/>
    <row r="113" spans="3:13" ht="15.65" customHeight="1" outlineLevel="1">
      <c r="C113" s="176" t="s">
        <v>180</v>
      </c>
      <c r="D113" s="154" t="s">
        <v>69</v>
      </c>
      <c r="E113" s="185">
        <f>-SUMIF(H111:M111,"&gt;0",H111:M111)/SUMIF(H111:M111,"&lt;=0",H111:M111)</f>
        <v>2.546111371787382</v>
      </c>
      <c r="I113" s="186" t="s">
        <v>198</v>
      </c>
      <c r="J113" s="187"/>
      <c r="K113" s="187"/>
      <c r="L113" s="187"/>
      <c r="M113" s="190">
        <f>(M93-J22)*OG_Carry</f>
        <v>824.47581149470807</v>
      </c>
    </row>
    <row r="114" spans="3:13" ht="15.65" customHeight="1" outlineLevel="1">
      <c r="C114" s="177" t="s">
        <v>189</v>
      </c>
      <c r="D114" s="155" t="s">
        <v>63</v>
      </c>
      <c r="E114" s="175">
        <f>XIRR(H111:M111,H100:M100)</f>
        <v>0.21713044047355656</v>
      </c>
      <c r="I114" s="193" t="s">
        <v>197</v>
      </c>
      <c r="J114" s="188"/>
      <c r="K114" s="188"/>
      <c r="L114" s="189"/>
      <c r="M114" s="192">
        <f>-M108-M94+J32-GP_Carry_Roll</f>
        <v>1127.0963462244954</v>
      </c>
    </row>
    <row r="115" spans="3:13" ht="15.65" customHeight="1"/>
  </sheetData>
  <pageMargins left="0.7" right="0.7" top="0.75" bottom="0.75" header="0.3" footer="0.3"/>
  <pageSetup scale="48" orientation="portrait" r:id="rId1"/>
  <rowBreaks count="1" manualBreakCount="1">
    <brk id="52" max="13" man="1"/>
  </rowBreaks>
  <ignoredErrors>
    <ignoredError sqref="E68:E69 F68:M6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B8A7F-F3CA-487B-A6DF-C24618C751C0}">
  <sheetPr>
    <pageSetUpPr autoPageBreaks="0"/>
  </sheetPr>
  <dimension ref="B2:V83"/>
  <sheetViews>
    <sheetView showOutlineSymbols="0" workbookViewId="0"/>
  </sheetViews>
  <sheetFormatPr defaultColWidth="9.1796875" defaultRowHeight="15.5"/>
  <cols>
    <col min="1" max="2" width="2.7265625" style="2" customWidth="1"/>
    <col min="3" max="11" width="13.7265625" style="2" customWidth="1"/>
    <col min="12" max="13" width="2.7265625" style="2" customWidth="1"/>
    <col min="14" max="22" width="13.7265625" style="2" customWidth="1"/>
    <col min="23" max="16384" width="9.1796875" style="2"/>
  </cols>
  <sheetData>
    <row r="2" spans="2:22" ht="18.5">
      <c r="B2" s="24" t="s">
        <v>73</v>
      </c>
    </row>
    <row r="3" spans="2:22">
      <c r="B3" s="2" t="s">
        <v>12</v>
      </c>
    </row>
    <row r="5" spans="2:22">
      <c r="B5" s="3" t="s">
        <v>67</v>
      </c>
      <c r="C5" s="4"/>
      <c r="D5" s="4"/>
      <c r="E5" s="46" t="s">
        <v>68</v>
      </c>
      <c r="F5" s="5"/>
      <c r="G5" s="4"/>
      <c r="H5" s="5"/>
      <c r="I5" s="5"/>
      <c r="J5" s="46" t="str">
        <f>$E$5</f>
        <v>Units:</v>
      </c>
      <c r="K5" s="5"/>
      <c r="L5" s="49"/>
      <c r="M5" s="65"/>
      <c r="N5" s="65"/>
      <c r="O5" s="66"/>
      <c r="P5" s="66"/>
      <c r="Q5" s="66"/>
      <c r="R5" s="66"/>
      <c r="S5" s="66"/>
      <c r="T5" s="66"/>
      <c r="U5" s="66"/>
      <c r="V5" s="66"/>
    </row>
    <row r="6" spans="2:22">
      <c r="M6" s="65"/>
      <c r="N6" s="65"/>
      <c r="O6" s="65"/>
      <c r="P6" s="65"/>
      <c r="Q6" s="65"/>
      <c r="R6" s="65"/>
      <c r="S6" s="65"/>
      <c r="T6" s="65"/>
      <c r="U6" s="65"/>
      <c r="V6" s="65"/>
    </row>
    <row r="7" spans="2:22">
      <c r="C7" s="36" t="s">
        <v>74</v>
      </c>
      <c r="E7" s="44" t="s">
        <v>75</v>
      </c>
      <c r="F7" s="60">
        <v>8</v>
      </c>
      <c r="H7" s="2" t="s">
        <v>8</v>
      </c>
      <c r="J7" s="44" t="s">
        <v>69</v>
      </c>
      <c r="K7" s="6">
        <v>12</v>
      </c>
      <c r="M7" s="65"/>
      <c r="N7" s="65"/>
      <c r="O7" s="65"/>
      <c r="P7" s="65"/>
      <c r="Q7" s="65"/>
      <c r="R7" s="65"/>
      <c r="S7" s="65"/>
      <c r="T7" s="65"/>
      <c r="U7" s="65"/>
      <c r="V7" s="65"/>
    </row>
    <row r="8" spans="2:22">
      <c r="C8" s="36" t="s">
        <v>76</v>
      </c>
      <c r="E8" s="44" t="s">
        <v>77</v>
      </c>
      <c r="F8" s="61">
        <v>55</v>
      </c>
      <c r="M8" s="65"/>
      <c r="N8" s="65"/>
      <c r="O8" s="65"/>
      <c r="P8" s="65"/>
      <c r="Q8" s="65"/>
      <c r="R8" s="65"/>
      <c r="S8" s="65"/>
      <c r="T8" s="65"/>
      <c r="U8" s="65"/>
      <c r="V8" s="65"/>
    </row>
    <row r="9" spans="2:22">
      <c r="H9" s="2" t="s">
        <v>45</v>
      </c>
      <c r="J9" s="44" t="s">
        <v>63</v>
      </c>
      <c r="K9" s="8">
        <v>0.2</v>
      </c>
      <c r="M9" s="65"/>
      <c r="N9" s="65"/>
      <c r="O9" s="65"/>
      <c r="P9" s="65"/>
      <c r="Q9" s="65"/>
      <c r="R9" s="65"/>
      <c r="S9" s="65"/>
      <c r="T9" s="65"/>
      <c r="U9" s="65"/>
      <c r="V9" s="65"/>
    </row>
    <row r="10" spans="2:22">
      <c r="C10" s="36" t="s">
        <v>80</v>
      </c>
      <c r="E10" s="44" t="s">
        <v>63</v>
      </c>
      <c r="F10" s="8">
        <v>0.25</v>
      </c>
      <c r="H10" s="2" t="s">
        <v>11</v>
      </c>
      <c r="J10" s="44" t="s">
        <v>63</v>
      </c>
      <c r="K10" s="8">
        <v>0.25</v>
      </c>
      <c r="M10" s="65"/>
      <c r="N10" s="65"/>
      <c r="O10" s="65"/>
      <c r="P10" s="65"/>
      <c r="Q10" s="65"/>
      <c r="R10" s="65"/>
      <c r="S10" s="65"/>
      <c r="T10" s="65"/>
      <c r="U10" s="65"/>
      <c r="V10" s="65"/>
    </row>
    <row r="11" spans="2:22">
      <c r="M11" s="65"/>
      <c r="N11" s="65"/>
      <c r="O11" s="65"/>
      <c r="P11" s="65"/>
      <c r="Q11" s="65"/>
      <c r="R11" s="65"/>
      <c r="S11" s="65"/>
      <c r="T11" s="65"/>
      <c r="U11" s="65"/>
      <c r="V11" s="65"/>
    </row>
    <row r="12" spans="2:22">
      <c r="C12" s="1" t="s">
        <v>72</v>
      </c>
      <c r="E12" s="44" t="s">
        <v>66</v>
      </c>
      <c r="F12" s="20">
        <f>F7*(1+F10)*F8</f>
        <v>550</v>
      </c>
      <c r="H12" s="36" t="s">
        <v>62</v>
      </c>
      <c r="J12" s="44" t="s">
        <v>63</v>
      </c>
      <c r="K12" s="8">
        <v>0.01</v>
      </c>
      <c r="M12" s="65"/>
      <c r="N12" s="65"/>
      <c r="O12" s="65"/>
      <c r="P12" s="65"/>
      <c r="Q12" s="65"/>
      <c r="R12" s="65"/>
      <c r="S12" s="65"/>
      <c r="T12" s="65"/>
      <c r="U12" s="65"/>
      <c r="V12" s="65"/>
    </row>
    <row r="13" spans="2:22">
      <c r="C13" s="39" t="s">
        <v>78</v>
      </c>
      <c r="E13" s="44" t="s">
        <v>66</v>
      </c>
      <c r="F13" s="63" t="e">
        <f>-#REF!</f>
        <v>#REF!</v>
      </c>
      <c r="H13" s="36" t="s">
        <v>64</v>
      </c>
      <c r="J13" s="44" t="s">
        <v>63</v>
      </c>
      <c r="K13" s="8">
        <v>0.02</v>
      </c>
      <c r="L13" s="47"/>
      <c r="M13" s="65"/>
      <c r="N13" s="65"/>
      <c r="O13" s="65"/>
      <c r="P13" s="65"/>
      <c r="Q13" s="65"/>
      <c r="R13" s="65"/>
      <c r="S13" s="65"/>
      <c r="T13" s="65"/>
      <c r="U13" s="65"/>
      <c r="V13" s="65"/>
    </row>
    <row r="14" spans="2:22">
      <c r="C14" s="39" t="s">
        <v>79</v>
      </c>
      <c r="E14" s="59" t="s">
        <v>66</v>
      </c>
      <c r="F14" s="64" t="e">
        <f>-#REF!</f>
        <v>#REF!</v>
      </c>
      <c r="H14" s="36"/>
      <c r="J14" s="36"/>
      <c r="K14" s="36"/>
      <c r="M14" s="65"/>
      <c r="N14" s="65"/>
      <c r="O14" s="65"/>
      <c r="P14" s="65"/>
      <c r="Q14" s="65"/>
      <c r="R14" s="65"/>
      <c r="S14" s="65"/>
      <c r="T14" s="65"/>
      <c r="U14" s="65"/>
      <c r="V14" s="65"/>
    </row>
    <row r="15" spans="2:22">
      <c r="C15" s="21" t="s">
        <v>53</v>
      </c>
      <c r="D15" s="22"/>
      <c r="E15" s="44" t="s">
        <v>66</v>
      </c>
      <c r="F15" s="62" t="e">
        <f>SUM(F12:F14)</f>
        <v>#REF!</v>
      </c>
      <c r="H15" s="36" t="s">
        <v>65</v>
      </c>
      <c r="J15" s="44" t="s">
        <v>66</v>
      </c>
      <c r="K15" s="55">
        <v>2</v>
      </c>
      <c r="M15" s="65"/>
      <c r="N15" s="65"/>
      <c r="O15" s="65"/>
      <c r="P15" s="65"/>
      <c r="Q15" s="65"/>
      <c r="R15" s="65"/>
      <c r="S15" s="65"/>
      <c r="T15" s="65"/>
      <c r="U15" s="65"/>
      <c r="V15" s="65"/>
    </row>
    <row r="16" spans="2:22">
      <c r="M16" s="65"/>
      <c r="N16" s="65"/>
      <c r="O16" s="65"/>
      <c r="P16" s="65"/>
      <c r="Q16" s="65"/>
      <c r="R16" s="65"/>
      <c r="S16" s="65"/>
      <c r="T16" s="65"/>
      <c r="U16" s="65"/>
      <c r="V16" s="65"/>
    </row>
    <row r="17" spans="2:22">
      <c r="C17" s="2" t="s">
        <v>17</v>
      </c>
      <c r="E17" s="44" t="s">
        <v>69</v>
      </c>
      <c r="F17" s="48" t="e">
        <f>F15/F38</f>
        <v>#REF!</v>
      </c>
      <c r="M17" s="65"/>
      <c r="N17" s="65"/>
      <c r="O17" s="65"/>
      <c r="P17" s="65"/>
      <c r="Q17" s="65"/>
      <c r="R17" s="65"/>
      <c r="S17" s="65"/>
      <c r="T17" s="65"/>
      <c r="U17" s="65"/>
      <c r="V17" s="65"/>
    </row>
    <row r="18" spans="2:22">
      <c r="M18" s="65"/>
      <c r="N18" s="65"/>
      <c r="O18" s="65"/>
      <c r="P18" s="65"/>
      <c r="Q18" s="65"/>
      <c r="R18" s="65"/>
      <c r="S18" s="65"/>
      <c r="T18" s="65"/>
      <c r="U18" s="65"/>
      <c r="V18" s="65"/>
    </row>
    <row r="19" spans="2:22">
      <c r="C19" s="36" t="s">
        <v>70</v>
      </c>
      <c r="E19" s="44" t="s">
        <v>69</v>
      </c>
      <c r="F19" s="6">
        <v>5</v>
      </c>
      <c r="M19" s="65"/>
      <c r="N19" s="65"/>
      <c r="O19" s="65"/>
      <c r="P19" s="65"/>
      <c r="Q19" s="65"/>
      <c r="R19" s="65"/>
      <c r="S19" s="65"/>
      <c r="T19" s="65"/>
      <c r="U19" s="65"/>
      <c r="V19" s="65"/>
    </row>
    <row r="20" spans="2:22">
      <c r="C20" s="36" t="s">
        <v>84</v>
      </c>
      <c r="E20" s="44" t="s">
        <v>66</v>
      </c>
      <c r="F20" s="9">
        <f>F19*F38</f>
        <v>250</v>
      </c>
      <c r="M20" s="65"/>
      <c r="N20" s="65"/>
      <c r="O20" s="65"/>
      <c r="P20" s="65"/>
      <c r="Q20" s="65"/>
      <c r="R20" s="65"/>
      <c r="S20" s="65"/>
      <c r="T20" s="65"/>
      <c r="U20" s="65"/>
      <c r="V20" s="65"/>
    </row>
    <row r="21" spans="2:22">
      <c r="C21" s="2" t="s">
        <v>15</v>
      </c>
      <c r="E21" s="44" t="s">
        <v>63</v>
      </c>
      <c r="F21" s="8">
        <v>0.05</v>
      </c>
      <c r="M21" s="65"/>
      <c r="N21" s="65"/>
      <c r="O21" s="65"/>
      <c r="P21" s="65"/>
      <c r="Q21" s="65"/>
      <c r="R21" s="65"/>
      <c r="S21" s="65"/>
      <c r="T21" s="65"/>
      <c r="U21" s="65"/>
      <c r="V21" s="65"/>
    </row>
    <row r="22" spans="2:22">
      <c r="M22" s="65"/>
      <c r="N22" s="65"/>
      <c r="O22" s="65"/>
      <c r="P22" s="65"/>
      <c r="Q22" s="65"/>
      <c r="R22" s="65"/>
      <c r="S22" s="65"/>
      <c r="T22" s="65"/>
      <c r="U22" s="65"/>
      <c r="V22" s="65"/>
    </row>
    <row r="23" spans="2:22">
      <c r="B23" s="3" t="s">
        <v>54</v>
      </c>
      <c r="C23" s="4"/>
      <c r="D23" s="4"/>
      <c r="E23" s="4"/>
      <c r="F23" s="4"/>
      <c r="G23" s="4"/>
      <c r="H23" s="5"/>
      <c r="I23" s="5"/>
      <c r="J23" s="5"/>
      <c r="K23" s="5"/>
      <c r="M23" s="65"/>
      <c r="N23" s="65"/>
      <c r="O23" s="65"/>
      <c r="P23" s="65"/>
      <c r="Q23" s="65"/>
      <c r="R23" s="65"/>
      <c r="S23" s="65"/>
      <c r="T23" s="65"/>
      <c r="U23" s="65"/>
      <c r="V23" s="65"/>
    </row>
    <row r="24" spans="2:22">
      <c r="M24" s="65"/>
      <c r="N24" s="65"/>
      <c r="O24" s="65"/>
      <c r="P24" s="65"/>
      <c r="Q24" s="65"/>
      <c r="R24" s="65"/>
      <c r="S24" s="65"/>
      <c r="T24" s="65"/>
      <c r="U24" s="65"/>
      <c r="V24" s="65"/>
    </row>
    <row r="25" spans="2:22">
      <c r="C25" s="37" t="s">
        <v>60</v>
      </c>
      <c r="D25" s="38"/>
      <c r="E25" s="37"/>
      <c r="F25" s="37"/>
      <c r="H25" s="37" t="s">
        <v>55</v>
      </c>
      <c r="I25" s="38"/>
      <c r="J25" s="38"/>
      <c r="K25" s="38"/>
      <c r="M25" s="65"/>
      <c r="N25" s="65"/>
      <c r="O25" s="65"/>
      <c r="P25" s="65"/>
      <c r="Q25" s="65"/>
      <c r="R25" s="65"/>
      <c r="S25" s="65"/>
      <c r="T25" s="65"/>
      <c r="U25" s="65"/>
      <c r="V25" s="65"/>
    </row>
    <row r="26" spans="2:22">
      <c r="C26" s="39" t="s">
        <v>83</v>
      </c>
      <c r="D26" s="36"/>
      <c r="F26" s="50" t="e">
        <f>(F20-K27)</f>
        <v>#REF!</v>
      </c>
      <c r="H26" s="39" t="s">
        <v>81</v>
      </c>
      <c r="I26" s="36"/>
      <c r="J26" s="36"/>
      <c r="K26" s="50">
        <f>F12</f>
        <v>550</v>
      </c>
      <c r="M26" s="65"/>
      <c r="N26" s="65"/>
      <c r="O26" s="65"/>
      <c r="P26" s="65"/>
      <c r="Q26" s="65"/>
      <c r="R26" s="65"/>
      <c r="S26" s="65"/>
      <c r="T26" s="65"/>
      <c r="U26" s="65"/>
      <c r="V26" s="65"/>
    </row>
    <row r="27" spans="2:22">
      <c r="C27" s="39" t="s">
        <v>82</v>
      </c>
      <c r="F27" s="9" t="e">
        <f>K27</f>
        <v>#REF!</v>
      </c>
      <c r="H27" s="39" t="s">
        <v>82</v>
      </c>
      <c r="K27" s="9" t="e">
        <f>F14</f>
        <v>#REF!</v>
      </c>
      <c r="M27" s="65"/>
      <c r="N27" s="65"/>
      <c r="O27" s="65"/>
      <c r="P27" s="65"/>
      <c r="Q27" s="65"/>
      <c r="R27" s="65"/>
      <c r="S27" s="65"/>
      <c r="T27" s="65"/>
      <c r="U27" s="65"/>
      <c r="V27" s="65"/>
    </row>
    <row r="28" spans="2:22">
      <c r="C28" s="39" t="s">
        <v>85</v>
      </c>
      <c r="F28" s="9" t="e">
        <f>(-F13-K9*F38)</f>
        <v>#REF!</v>
      </c>
      <c r="H28" s="39" t="s">
        <v>56</v>
      </c>
      <c r="I28" s="36"/>
      <c r="J28" s="36"/>
      <c r="K28" s="51">
        <f>K12*F12+K15</f>
        <v>7.5</v>
      </c>
      <c r="M28" s="65"/>
      <c r="N28" s="65"/>
      <c r="O28" s="65"/>
      <c r="P28" s="65"/>
      <c r="Q28" s="65"/>
      <c r="R28" s="65"/>
      <c r="S28" s="65"/>
      <c r="T28" s="65"/>
      <c r="U28" s="65"/>
      <c r="V28" s="65"/>
    </row>
    <row r="29" spans="2:22">
      <c r="C29" s="39" t="s">
        <v>71</v>
      </c>
      <c r="D29" s="43"/>
      <c r="E29" s="18"/>
      <c r="F29" s="51" t="e">
        <f>K30-SUM(F26:F28)</f>
        <v>#REF!</v>
      </c>
      <c r="H29" s="39" t="s">
        <v>57</v>
      </c>
      <c r="I29" s="36"/>
      <c r="J29" s="36"/>
      <c r="K29" s="51">
        <f>K13*F20</f>
        <v>5</v>
      </c>
      <c r="M29" s="65"/>
      <c r="N29" s="65"/>
      <c r="O29" s="65"/>
      <c r="P29" s="65"/>
      <c r="Q29" s="65"/>
      <c r="R29" s="65"/>
      <c r="S29" s="65"/>
      <c r="T29" s="65"/>
      <c r="U29" s="65"/>
      <c r="V29" s="65"/>
    </row>
    <row r="30" spans="2:22">
      <c r="C30" s="40" t="s">
        <v>61</v>
      </c>
      <c r="D30" s="36"/>
      <c r="F30" s="52" t="e">
        <f>SUM(F26:F29)</f>
        <v>#REF!</v>
      </c>
      <c r="H30" s="40" t="s">
        <v>58</v>
      </c>
      <c r="I30" s="41"/>
      <c r="J30" s="41"/>
      <c r="K30" s="52" t="e">
        <f>SUM(K26:K29)</f>
        <v>#REF!</v>
      </c>
      <c r="L30" s="36"/>
      <c r="M30" s="65"/>
      <c r="N30" s="65"/>
      <c r="O30" s="65"/>
      <c r="P30" s="65"/>
      <c r="Q30" s="65"/>
      <c r="R30" s="65"/>
      <c r="S30" s="65"/>
      <c r="T30" s="65"/>
      <c r="U30" s="65"/>
      <c r="V30" s="65"/>
    </row>
    <row r="31" spans="2:22">
      <c r="H31" s="36"/>
      <c r="I31" s="36"/>
      <c r="J31" s="36"/>
      <c r="K31" s="36"/>
      <c r="L31" s="42"/>
      <c r="M31" s="65"/>
      <c r="N31" s="65"/>
      <c r="O31" s="65"/>
      <c r="P31" s="65"/>
      <c r="Q31" s="65"/>
      <c r="R31" s="65"/>
      <c r="S31" s="65"/>
      <c r="T31" s="65"/>
      <c r="U31" s="65"/>
      <c r="V31" s="65"/>
    </row>
    <row r="32" spans="2:22">
      <c r="H32" s="1" t="s">
        <v>59</v>
      </c>
      <c r="I32" s="36"/>
      <c r="J32" s="36"/>
      <c r="K32" s="42" t="e">
        <f>F30-K30</f>
        <v>#REF!</v>
      </c>
      <c r="L32" s="42"/>
      <c r="M32" s="65"/>
      <c r="N32" s="65"/>
      <c r="O32" s="65"/>
      <c r="P32" s="65"/>
      <c r="Q32" s="65"/>
      <c r="R32" s="65"/>
      <c r="S32" s="65"/>
      <c r="T32" s="65"/>
      <c r="U32" s="65"/>
      <c r="V32" s="65"/>
    </row>
    <row r="33" spans="2:22">
      <c r="M33" s="65"/>
      <c r="N33" s="65"/>
      <c r="O33" s="65"/>
      <c r="P33" s="65"/>
      <c r="Q33" s="65"/>
      <c r="R33" s="65"/>
      <c r="S33" s="65"/>
      <c r="T33" s="65"/>
      <c r="U33" s="65"/>
      <c r="V33" s="65"/>
    </row>
    <row r="34" spans="2:22">
      <c r="B34" s="3" t="s">
        <v>13</v>
      </c>
      <c r="C34" s="4"/>
      <c r="D34" s="4"/>
      <c r="E34" s="4"/>
      <c r="F34" s="45" t="s">
        <v>0</v>
      </c>
      <c r="G34" s="45" t="s">
        <v>1</v>
      </c>
      <c r="H34" s="45" t="s">
        <v>2</v>
      </c>
      <c r="I34" s="45" t="s">
        <v>3</v>
      </c>
      <c r="J34" s="45" t="s">
        <v>4</v>
      </c>
      <c r="K34" s="45" t="s">
        <v>5</v>
      </c>
      <c r="M34" s="65"/>
      <c r="N34" s="65"/>
      <c r="O34" s="65"/>
      <c r="P34" s="65"/>
      <c r="Q34" s="65"/>
      <c r="R34" s="65"/>
      <c r="S34" s="65"/>
      <c r="T34" s="65"/>
      <c r="U34" s="65"/>
      <c r="V34" s="65"/>
    </row>
    <row r="35" spans="2:22">
      <c r="B35" s="1"/>
      <c r="C35" s="2" t="s">
        <v>14</v>
      </c>
      <c r="F35" s="27">
        <v>250</v>
      </c>
      <c r="G35" s="13"/>
      <c r="H35" s="13"/>
      <c r="I35" s="13"/>
      <c r="J35" s="13"/>
      <c r="K35" s="13"/>
      <c r="M35" s="65"/>
      <c r="N35" s="65"/>
      <c r="O35" s="65"/>
      <c r="P35" s="65"/>
      <c r="Q35" s="65"/>
      <c r="R35" s="65"/>
      <c r="S35" s="65"/>
      <c r="T35" s="65"/>
      <c r="U35" s="65"/>
      <c r="V35" s="65"/>
    </row>
    <row r="36" spans="2:22">
      <c r="B36" s="1"/>
      <c r="C36" s="16" t="s">
        <v>30</v>
      </c>
      <c r="F36" s="14"/>
      <c r="G36" s="31"/>
      <c r="H36" s="31"/>
      <c r="I36" s="31"/>
      <c r="J36" s="31"/>
      <c r="K36" s="31"/>
      <c r="M36" s="65"/>
      <c r="N36" s="65"/>
      <c r="O36" s="65"/>
      <c r="P36" s="65"/>
      <c r="Q36" s="65"/>
      <c r="R36" s="65"/>
      <c r="S36" s="65"/>
      <c r="T36" s="65"/>
      <c r="U36" s="65"/>
      <c r="V36" s="65"/>
    </row>
    <row r="37" spans="2:22">
      <c r="B37" s="1"/>
      <c r="F37" s="14"/>
      <c r="G37" s="14"/>
      <c r="H37" s="14"/>
      <c r="I37" s="14"/>
      <c r="J37" s="14"/>
      <c r="K37" s="14"/>
      <c r="M37" s="65"/>
      <c r="N37" s="65"/>
      <c r="O37" s="65"/>
      <c r="P37" s="65"/>
      <c r="Q37" s="65"/>
      <c r="R37" s="65"/>
      <c r="S37" s="65"/>
      <c r="T37" s="65"/>
      <c r="U37" s="65"/>
      <c r="V37" s="65"/>
    </row>
    <row r="38" spans="2:22">
      <c r="C38" s="2" t="s">
        <v>10</v>
      </c>
      <c r="F38" s="9">
        <f>+F35*F39</f>
        <v>50</v>
      </c>
      <c r="G38" s="9"/>
      <c r="H38" s="9"/>
      <c r="I38" s="9"/>
      <c r="J38" s="9"/>
      <c r="K38" s="9"/>
      <c r="M38" s="65"/>
      <c r="N38" s="65"/>
      <c r="O38" s="65"/>
      <c r="P38" s="65"/>
      <c r="Q38" s="65"/>
      <c r="R38" s="65"/>
      <c r="S38" s="65"/>
      <c r="T38" s="65"/>
      <c r="U38" s="65"/>
      <c r="V38" s="65"/>
    </row>
    <row r="39" spans="2:22">
      <c r="C39" s="16" t="s">
        <v>31</v>
      </c>
      <c r="F39" s="31">
        <v>0.2</v>
      </c>
      <c r="G39" s="31"/>
      <c r="H39" s="31"/>
      <c r="I39" s="31"/>
      <c r="J39" s="31"/>
      <c r="K39" s="31"/>
      <c r="M39" s="65"/>
      <c r="N39" s="65"/>
      <c r="O39" s="65"/>
      <c r="P39" s="65"/>
      <c r="Q39" s="65"/>
      <c r="R39" s="65"/>
      <c r="S39" s="65"/>
      <c r="T39" s="65"/>
      <c r="U39" s="65"/>
      <c r="V39" s="65"/>
    </row>
    <row r="40" spans="2:22">
      <c r="C40" s="25" t="s">
        <v>30</v>
      </c>
      <c r="G40" s="26"/>
      <c r="H40" s="26"/>
      <c r="I40" s="26"/>
      <c r="J40" s="26"/>
      <c r="K40" s="26"/>
      <c r="M40" s="65"/>
      <c r="N40" s="65"/>
      <c r="O40" s="65"/>
      <c r="P40" s="65"/>
      <c r="Q40" s="65"/>
      <c r="R40" s="65"/>
      <c r="S40" s="65"/>
      <c r="T40" s="65"/>
      <c r="U40" s="65"/>
      <c r="V40" s="65"/>
    </row>
    <row r="41" spans="2:22">
      <c r="M41" s="65"/>
      <c r="N41" s="65"/>
      <c r="O41" s="65"/>
      <c r="P41" s="65"/>
      <c r="Q41" s="65"/>
      <c r="R41" s="65"/>
      <c r="S41" s="65"/>
      <c r="T41" s="65"/>
      <c r="U41" s="65"/>
      <c r="V41" s="65"/>
    </row>
    <row r="42" spans="2:22">
      <c r="C42" s="2" t="s">
        <v>32</v>
      </c>
      <c r="G42" s="9"/>
      <c r="H42" s="9"/>
      <c r="I42" s="9"/>
      <c r="J42" s="9"/>
      <c r="K42" s="9"/>
    </row>
    <row r="43" spans="2:22">
      <c r="C43" s="16" t="s">
        <v>39</v>
      </c>
      <c r="G43" s="31"/>
      <c r="H43" s="31"/>
      <c r="I43" s="31"/>
      <c r="J43" s="31"/>
      <c r="K43" s="31"/>
    </row>
    <row r="44" spans="2:22">
      <c r="G44" s="9"/>
      <c r="H44" s="9"/>
      <c r="I44" s="9"/>
      <c r="J44" s="9"/>
      <c r="K44" s="9"/>
    </row>
    <row r="45" spans="2:22">
      <c r="C45" s="2" t="s">
        <v>33</v>
      </c>
      <c r="G45" s="9"/>
      <c r="H45" s="9"/>
      <c r="I45" s="9"/>
      <c r="J45" s="9"/>
      <c r="K45" s="9"/>
    </row>
    <row r="47" spans="2:22">
      <c r="C47" s="2" t="s">
        <v>16</v>
      </c>
      <c r="G47" s="9"/>
      <c r="H47" s="9"/>
      <c r="I47" s="9"/>
      <c r="J47" s="9"/>
      <c r="K47" s="9"/>
    </row>
    <row r="48" spans="2:22">
      <c r="C48" s="16" t="s">
        <v>34</v>
      </c>
      <c r="G48" s="9"/>
      <c r="H48" s="9"/>
      <c r="I48" s="9"/>
      <c r="J48" s="9"/>
      <c r="K48" s="9"/>
    </row>
    <row r="49" spans="2:11">
      <c r="C49" s="21" t="s">
        <v>6</v>
      </c>
      <c r="D49" s="22"/>
      <c r="E49" s="22"/>
      <c r="F49" s="22"/>
      <c r="G49" s="23"/>
      <c r="H49" s="23"/>
      <c r="I49" s="23"/>
      <c r="J49" s="23"/>
      <c r="K49" s="23"/>
    </row>
    <row r="51" spans="2:11">
      <c r="B51" s="3" t="s">
        <v>35</v>
      </c>
      <c r="C51" s="4"/>
      <c r="D51" s="4"/>
      <c r="E51" s="4"/>
      <c r="F51" s="45" t="str">
        <f>+$F$34</f>
        <v>Year 0</v>
      </c>
      <c r="G51" s="45" t="str">
        <f>+$G$34</f>
        <v>Year 1</v>
      </c>
      <c r="H51" s="45" t="str">
        <f>+$H$34</f>
        <v>Year 2</v>
      </c>
      <c r="I51" s="45" t="str">
        <f>+$I$34</f>
        <v>Year 3</v>
      </c>
      <c r="J51" s="45" t="str">
        <f>+$J$34</f>
        <v>Year 4</v>
      </c>
      <c r="K51" s="45" t="str">
        <f>+$K$34</f>
        <v>Year 5</v>
      </c>
    </row>
    <row r="52" spans="2:11">
      <c r="C52" s="2" t="s">
        <v>6</v>
      </c>
      <c r="G52" s="7"/>
      <c r="H52" s="7"/>
      <c r="I52" s="7"/>
      <c r="J52" s="7"/>
      <c r="K52" s="7"/>
    </row>
    <row r="54" spans="2:11">
      <c r="C54" s="2" t="s">
        <v>36</v>
      </c>
      <c r="G54" s="9"/>
      <c r="H54" s="9"/>
      <c r="I54" s="9"/>
      <c r="J54" s="9"/>
      <c r="K54" s="9"/>
    </row>
    <row r="55" spans="2:11">
      <c r="C55" s="2" t="s">
        <v>37</v>
      </c>
      <c r="G55" s="9"/>
      <c r="H55" s="9"/>
      <c r="I55" s="9"/>
      <c r="J55" s="9"/>
      <c r="K55" s="9"/>
    </row>
    <row r="56" spans="2:11">
      <c r="C56" s="16" t="s">
        <v>40</v>
      </c>
      <c r="G56" s="31"/>
      <c r="H56" s="31"/>
      <c r="I56" s="31"/>
      <c r="J56" s="31"/>
      <c r="K56" s="31"/>
    </row>
    <row r="57" spans="2:11">
      <c r="G57" s="9"/>
      <c r="H57" s="9"/>
      <c r="I57" s="9"/>
      <c r="J57" s="9"/>
      <c r="K57" s="9"/>
    </row>
    <row r="58" spans="2:11">
      <c r="C58" s="2" t="s">
        <v>38</v>
      </c>
      <c r="G58" s="9"/>
      <c r="H58" s="9"/>
      <c r="I58" s="9"/>
      <c r="J58" s="9"/>
      <c r="K58" s="9"/>
    </row>
    <row r="59" spans="2:11">
      <c r="C59" s="16" t="s">
        <v>40</v>
      </c>
      <c r="G59" s="31"/>
      <c r="H59" s="31"/>
      <c r="I59" s="31"/>
      <c r="J59" s="31"/>
      <c r="K59" s="31"/>
    </row>
    <row r="60" spans="2:11">
      <c r="G60" s="15"/>
      <c r="H60" s="15"/>
      <c r="I60" s="15"/>
      <c r="J60" s="15"/>
      <c r="K60" s="15"/>
    </row>
    <row r="61" spans="2:11">
      <c r="C61" s="16" t="s">
        <v>41</v>
      </c>
      <c r="G61" s="9"/>
      <c r="H61" s="9"/>
      <c r="I61" s="9"/>
      <c r="J61" s="9"/>
      <c r="K61" s="9"/>
    </row>
    <row r="62" spans="2:11">
      <c r="C62" s="16" t="s">
        <v>42</v>
      </c>
      <c r="G62" s="9"/>
      <c r="H62" s="9"/>
      <c r="I62" s="9"/>
      <c r="J62" s="9"/>
      <c r="K62" s="9"/>
    </row>
    <row r="63" spans="2:11">
      <c r="C63" s="16" t="s">
        <v>43</v>
      </c>
      <c r="G63" s="9"/>
      <c r="H63" s="9"/>
      <c r="I63" s="9"/>
      <c r="J63" s="9"/>
      <c r="K63" s="9"/>
    </row>
    <row r="64" spans="2:11">
      <c r="C64" s="21" t="s">
        <v>44</v>
      </c>
      <c r="D64" s="22"/>
      <c r="E64" s="22"/>
      <c r="F64" s="22"/>
      <c r="G64" s="28"/>
      <c r="H64" s="28"/>
      <c r="I64" s="28"/>
      <c r="J64" s="28"/>
      <c r="K64" s="28"/>
    </row>
    <row r="65" spans="3:11">
      <c r="G65" s="15"/>
      <c r="H65" s="15"/>
      <c r="I65" s="15"/>
      <c r="J65" s="15"/>
      <c r="K65" s="15"/>
    </row>
    <row r="66" spans="3:11">
      <c r="C66" s="2" t="s">
        <v>20</v>
      </c>
      <c r="G66" s="9"/>
      <c r="H66" s="9"/>
      <c r="I66" s="9"/>
      <c r="J66" s="9"/>
      <c r="K66" s="9"/>
    </row>
    <row r="68" spans="3:11">
      <c r="C68" s="2" t="s">
        <v>7</v>
      </c>
      <c r="F68" s="9" t="e">
        <f>SUM(F26:F27)</f>
        <v>#REF!</v>
      </c>
      <c r="G68" s="9"/>
      <c r="H68" s="9"/>
      <c r="I68" s="9"/>
      <c r="J68" s="9"/>
      <c r="K68" s="9"/>
    </row>
    <row r="69" spans="3:11">
      <c r="C69" s="2" t="s">
        <v>19</v>
      </c>
      <c r="F69" s="9" t="e">
        <f>-F13-F28</f>
        <v>#REF!</v>
      </c>
      <c r="G69" s="9"/>
      <c r="H69" s="9"/>
      <c r="I69" s="9"/>
      <c r="J69" s="9"/>
      <c r="K69" s="9"/>
    </row>
    <row r="70" spans="3:11">
      <c r="C70" s="2" t="s">
        <v>49</v>
      </c>
      <c r="F70" s="9">
        <f>E29</f>
        <v>0</v>
      </c>
      <c r="G70" s="9"/>
      <c r="H70" s="9"/>
      <c r="I70" s="9"/>
      <c r="J70" s="9"/>
      <c r="K70" s="9"/>
    </row>
    <row r="72" spans="3:11">
      <c r="C72" s="2" t="s">
        <v>50</v>
      </c>
      <c r="F72" s="9"/>
      <c r="G72" s="9"/>
      <c r="H72" s="9"/>
      <c r="I72" s="9"/>
      <c r="J72" s="9"/>
      <c r="K72" s="9"/>
    </row>
    <row r="73" spans="3:11">
      <c r="C73" s="2" t="s">
        <v>51</v>
      </c>
      <c r="G73" s="9"/>
      <c r="H73" s="9"/>
      <c r="I73" s="9"/>
      <c r="J73" s="9"/>
      <c r="K73" s="9"/>
    </row>
    <row r="74" spans="3:11">
      <c r="C74" s="25" t="s">
        <v>52</v>
      </c>
      <c r="G74" s="30"/>
      <c r="H74" s="30"/>
      <c r="I74" s="30"/>
      <c r="J74" s="30"/>
      <c r="K74" s="30"/>
    </row>
    <row r="75" spans="3:11">
      <c r="K75" s="9"/>
    </row>
    <row r="76" spans="3:11">
      <c r="C76" s="10" t="s">
        <v>27</v>
      </c>
      <c r="D76" s="10"/>
      <c r="E76" s="10"/>
      <c r="F76" s="12" t="s">
        <v>28</v>
      </c>
      <c r="G76" s="12" t="s">
        <v>29</v>
      </c>
      <c r="I76" s="10" t="s">
        <v>26</v>
      </c>
      <c r="J76" s="11"/>
      <c r="K76" s="11"/>
    </row>
    <row r="77" spans="3:11">
      <c r="C77" s="16" t="s">
        <v>23</v>
      </c>
      <c r="F77" s="7"/>
      <c r="G77" s="56"/>
      <c r="I77" s="29" t="s">
        <v>18</v>
      </c>
      <c r="K77" s="7"/>
    </row>
    <row r="78" spans="3:11">
      <c r="C78" s="16" t="s">
        <v>24</v>
      </c>
      <c r="F78" s="9"/>
      <c r="G78" s="56"/>
      <c r="I78" s="16" t="s">
        <v>47</v>
      </c>
      <c r="K78" s="9"/>
    </row>
    <row r="79" spans="3:11">
      <c r="C79" s="17" t="s">
        <v>46</v>
      </c>
      <c r="D79" s="18"/>
      <c r="E79" s="18"/>
      <c r="F79" s="19"/>
      <c r="G79" s="57"/>
      <c r="I79" s="16" t="s">
        <v>48</v>
      </c>
      <c r="K79" s="9"/>
    </row>
    <row r="80" spans="3:11">
      <c r="C80" s="1" t="s">
        <v>25</v>
      </c>
      <c r="F80" s="20"/>
      <c r="G80" s="58"/>
      <c r="I80" s="21" t="s">
        <v>9</v>
      </c>
      <c r="J80" s="22"/>
      <c r="K80" s="23"/>
    </row>
    <row r="82" spans="3:11">
      <c r="C82" s="1"/>
      <c r="F82" s="32" t="s">
        <v>21</v>
      </c>
      <c r="G82" s="33"/>
      <c r="H82" s="33"/>
      <c r="I82" s="33"/>
      <c r="J82" s="33"/>
      <c r="K82" s="53"/>
    </row>
    <row r="83" spans="3:11">
      <c r="F83" s="34" t="s">
        <v>22</v>
      </c>
      <c r="G83" s="35"/>
      <c r="H83" s="35"/>
      <c r="I83" s="35"/>
      <c r="J83" s="35"/>
      <c r="K83" s="54"/>
    </row>
  </sheetData>
  <pageMargins left="0.7" right="0.7" top="0.75" bottom="0.75" header="0.3" footer="0.3"/>
  <pageSetup scale="64" orientation="portrait" r:id="rId1"/>
  <rowBreaks count="1" manualBreakCount="1">
    <brk id="50" max="11" man="1"/>
  </rowBreaks>
  <colBreaks count="1" manualBreakCount="1">
    <brk id="12" max="7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14</vt:i4>
      </vt:variant>
    </vt:vector>
  </HeadingPairs>
  <TitlesOfParts>
    <vt:vector size="17" baseType="lpstr">
      <vt:lpstr>Recycling (2)</vt:lpstr>
      <vt:lpstr>GP_Led</vt:lpstr>
      <vt:lpstr>Public_LBO</vt:lpstr>
      <vt:lpstr>CV_Carry</vt:lpstr>
      <vt:lpstr>CV_Exit_Date</vt:lpstr>
      <vt:lpstr>CV_Txn_Date</vt:lpstr>
      <vt:lpstr>GP_Carry_Roll</vt:lpstr>
      <vt:lpstr>Initial_Multiple</vt:lpstr>
      <vt:lpstr>Interest_Rate</vt:lpstr>
      <vt:lpstr>LTM_EBITDA</vt:lpstr>
      <vt:lpstr>Multiple_Increment</vt:lpstr>
      <vt:lpstr>OG_Carry</vt:lpstr>
      <vt:lpstr>OG_Carry_Roll</vt:lpstr>
      <vt:lpstr>GP_Led!Print_Area</vt:lpstr>
      <vt:lpstr>Public_LBO!Print_Area</vt:lpstr>
      <vt:lpstr>'Recycling (2)'!Print_Area</vt:lpstr>
      <vt:lpstr>Tax_Rate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BIWS</dc:creator>
  <cp:lastModifiedBy>Brian DeChesare</cp:lastModifiedBy>
  <dcterms:created xsi:type="dcterms:W3CDTF">2014-04-29T19:37:43Z</dcterms:created>
  <dcterms:modified xsi:type="dcterms:W3CDTF">2025-08-01T02:00:17Z</dcterms:modified>
</cp:coreProperties>
</file>