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bdech\BIWS Dropbox\Brian DeChesare\BIWS-All-Courses\130-PE-Secondary-FoF-Modeling\YouTube\"/>
    </mc:Choice>
  </mc:AlternateContent>
  <xr:revisionPtr revIDLastSave="0" documentId="13_ncr:1_{F385AE9D-7F35-4EAB-8BA6-A65924E66AED}" xr6:coauthVersionLast="47" xr6:coauthVersionMax="47" xr10:uidLastSave="{00000000-0000-0000-0000-000000000000}"/>
  <bookViews>
    <workbookView xWindow="-110" yWindow="-110" windowWidth="25820" windowHeight="15500" activeTab="1" xr2:uid="{7A535AEB-E1D5-4735-A11E-A3BB39C692FD}"/>
  </bookViews>
  <sheets>
    <sheet name="Master_Sheet" sheetId="11" r:id="rId1"/>
    <sheet name="Track_Record" sheetId="9" r:id="rId2"/>
    <sheet name="Public_LBO" sheetId="2" state="hidden" r:id="rId3"/>
  </sheets>
  <definedNames>
    <definedName name="_xlnm._FilterDatabase" localSheetId="0" hidden="1">Master_Sheet!$B$7:$P$27</definedName>
    <definedName name="ACCOUNT_CHANGE" hidden="1">"ACCOUNT_CHANGE"</definedName>
    <definedName name="ACCOUNTS_PAY" hidden="1">"ACCOUNTS_PAY"</definedName>
    <definedName name="ACCRUED_EXP" hidden="1">"ACCRUED_EXP"</definedName>
    <definedName name="ADD_PAID_IN" hidden="1">"ADD_PAID_IN"</definedName>
    <definedName name="AMORTIZATION" hidden="1">"AMORTIZATION"</definedName>
    <definedName name="Analysis_Date">Track_Record!$E$7</definedName>
    <definedName name="AS2DocOpenMode" hidden="1">"AS2DocumentEdit"</definedName>
    <definedName name="ASSET_TURNS" hidden="1">"ASSET_TURNS"</definedName>
    <definedName name="Avg_Carry">Track_Record!$E$8</definedName>
    <definedName name="Avg_Fund_Life">Track_Record!$E$11</definedName>
    <definedName name="Avg_Mgmt_Fee">Track_Record!$E$10</definedName>
    <definedName name="BASIC_EPS_EXCL" hidden="1">"BASIC_EPS_EXCL"</definedName>
    <definedName name="BASIC_EPS_INCL" hidden="1">"BASIC_EPS_INCL"</definedName>
    <definedName name="BASIC_NORMAL_EPS" hidden="1">"BASIC_NORMAL_EPS"</definedName>
    <definedName name="BASIC_WEIGHT" hidden="1">"BASIC_WEIGHT"</definedName>
    <definedName name="BOOK_VALUE" hidden="1">"BOOK_VALUE"</definedName>
    <definedName name="BV_OVER_SHARES" hidden="1">"BV_OVER_SHARES"</definedName>
    <definedName name="CAPITAL_EXPEN" hidden="1">"CAPITAL_EXPEN"</definedName>
    <definedName name="CAPITAL_LEASE" hidden="1">"CAPITAL_LEASE"</definedName>
    <definedName name="CASH_DUE_BANKS" hidden="1">"CASH_DUE_BANKS"</definedName>
    <definedName name="CASH_EQUIV" hidden="1">"CASH_EQUIV"</definedName>
    <definedName name="CASH_INTEREST" hidden="1">"CASH_INTEREST"</definedName>
    <definedName name="CASH_ST" hidden="1">"CASH_ST"</definedName>
    <definedName name="CASH_TAXES" hidden="1">"CASH_TAXES"</definedName>
    <definedName name="CHANGES_WORK_CAP" hidden="1">"CHANGES_WORK_CAP"</definedName>
    <definedName name="CIQWBGuid" hidden="1">"758755ec-ba76-4b5e-949a-8f4fe2f47e20"</definedName>
    <definedName name="CITY" hidden="1">"CITY"</definedName>
    <definedName name="COMMON_STOCK" hidden="1">"COMMON_STOCK"</definedName>
    <definedName name="COMPANY_ADDRESS" hidden="1">"COMPANY_ADDRESS"</definedName>
    <definedName name="COMPANY_NAME" hidden="1">"COMPANY_NAME"</definedName>
    <definedName name="COMPANY_PHONE" hidden="1">"COMPANY_PHONE"</definedName>
    <definedName name="COMPANY_STREET1" hidden="1">"COMPANY_STREET1"</definedName>
    <definedName name="COMPANY_STREET2" hidden="1">"COMPANY_STREET2"</definedName>
    <definedName name="COMPANY_TICKER" hidden="1">"COMPANY_TICKER"</definedName>
    <definedName name="COMPANY_WEBSITE" hidden="1">"COMPANY_WEBSITE"</definedName>
    <definedName name="COMPANY_ZIP" hidden="1">"COMPANY_ZIP"</definedName>
    <definedName name="COST_REVENUE" hidden="1">"COST_REVENUE"</definedName>
    <definedName name="COUNTRY_NAME" hidden="1">"COUNTRY_NAME"</definedName>
    <definedName name="CURRENT_PORT" hidden="1">"CURRENT_PORT"</definedName>
    <definedName name="CURRENT_RATIO" hidden="1">"CURRENT_RATIO"</definedName>
    <definedName name="DAYS_PAY_OUTST" hidden="1">"DAYS_PAY_OUTST"</definedName>
    <definedName name="DAYS_SALES_OUTST" hidden="1">"DAYS_SALES_OUTST"</definedName>
    <definedName name="DEFERRED_INC_TAX" hidden="1">"DEFERRED_INC_TAX"</definedName>
    <definedName name="DEFERRED_TAXES" hidden="1">"DEFERRED_TAXES"</definedName>
    <definedName name="DEPRE_AMORT" hidden="1">"DEPRE_AMORT"</definedName>
    <definedName name="DEPRE_AMORT_SUPPL" hidden="1">"DEPRE_AMORT_SUPPL"</definedName>
    <definedName name="DEPRE_DEPLE" hidden="1">"DEPRE_DEPLE"</definedName>
    <definedName name="DEPRE_SUPP" hidden="1">"DEPRE_SUPP"</definedName>
    <definedName name="DESCRIPTION_LONG" hidden="1">"DESCRIPTION_LONG"</definedName>
    <definedName name="DILUT_ADJUST" hidden="1">"DILUT_ADJUST"</definedName>
    <definedName name="DILUT_EPS_EXCL" hidden="1">"DILUT_EPS_EXCL"</definedName>
    <definedName name="DILUT_EPS_INCL" hidden="1">"DILUT_EPS_INCL"</definedName>
    <definedName name="DILUT_NORMAL_EPS" hidden="1">"DILUT_NORMAL_EPS"</definedName>
    <definedName name="DILUT_WEIGHT" hidden="1">"DILUT_WEIGHT"</definedName>
    <definedName name="DISCONT_OPER" hidden="1">"DISCONT_OPER"</definedName>
    <definedName name="DIVID_SHARE" hidden="1">"DIVID_SHARE"</definedName>
    <definedName name="EBIT" hidden="1">"EBIT"</definedName>
    <definedName name="EBIT_10K" hidden="1">"EBIT_10K"</definedName>
    <definedName name="EBIT_10Q" hidden="1">"EBIT_10Q"</definedName>
    <definedName name="EBIT_10Q1" hidden="1">"EBIT_10Q1"</definedName>
    <definedName name="EBIT_GROWTH_1" hidden="1">"EBIT_GROWTH_1"</definedName>
    <definedName name="EBIT_GROWTH_2" hidden="1">"EBIT_GROWTH_2"</definedName>
    <definedName name="EBIT_MARGIN" hidden="1">"EBIT_MARGIN"</definedName>
    <definedName name="EBIT_OVER_IE" hidden="1">"EBIT_OVER_IE"</definedName>
    <definedName name="EBITDA" hidden="1">"EBITDA"</definedName>
    <definedName name="EBITDA_10K" hidden="1">"EBITDA_10K"</definedName>
    <definedName name="EBITDA_10Q" hidden="1">"EBITDA_10Q"</definedName>
    <definedName name="EBITDA_10Q1" hidden="1">"EBITDA_10Q1"</definedName>
    <definedName name="EBITDA_CAPEX_OVER_TOTAL_IE" hidden="1">"EBITDA_CAPEX_OVER_TOTAL_IE"</definedName>
    <definedName name="EBITDA_GROWTH_1" hidden="1">"EBITDA_GROWTH_1"</definedName>
    <definedName name="EBITDA_GROWTH_2" hidden="1">"EBITDA_GROWTH_2"</definedName>
    <definedName name="EBITDA_MARGIN" hidden="1">"EBITDA_MARGIN"</definedName>
    <definedName name="EBITDA_OVER_TOTAL_IE" hidden="1">"EBITDA_OVER_TOTAL_IE"</definedName>
    <definedName name="EFFECT_SPECIAL_CHARGE" hidden="1">"EFFECT_SPECIAL_CHARGE"</definedName>
    <definedName name="EMPLOYEES" hidden="1">"EMPLOYEES"</definedName>
    <definedName name="EPS" hidden="1">"EPS"</definedName>
    <definedName name="EPS_10K" hidden="1">"EPS_10K"</definedName>
    <definedName name="EPS_10Q" hidden="1">"EPS_10Q"</definedName>
    <definedName name="EPS_10Q1" hidden="1">"EPS_10Q1"</definedName>
    <definedName name="EPS_EST" hidden="1">"EPS_EST"</definedName>
    <definedName name="EPS_EST_1" hidden="1">"EPS_EST_1"</definedName>
    <definedName name="EQUITY_AFFIL" hidden="1">"EQUITY_AFFIL"</definedName>
    <definedName name="EQUITY_MARKET_VAL" hidden="1">"EQUITY_MARKET_VAL"</definedName>
    <definedName name="EQV_OVER_BV" hidden="1">"EQV_OVER_BV"</definedName>
    <definedName name="EQV_OVER_LTM_PRETAX_INC" hidden="1">"EQV_OVER_LTM_PRETAX_INC"</definedName>
    <definedName name="ESOP_DEBT" hidden="1">"ESOP_DEBT"</definedName>
    <definedName name="EV_OVER_EMPLOYEE" hidden="1">"EV_OVER_EMPLOYEE"</definedName>
    <definedName name="EV_OVER_LTM_EBIT" hidden="1">"EV_OVER_LTM_EBIT"</definedName>
    <definedName name="EV_OVER_LTM_EBITDA" hidden="1">"EV_OVER_LTM_EBITDA"</definedName>
    <definedName name="EV_OVER_LTM_REVENUE" hidden="1">"EV_OVER_LTM_REVENUE"</definedName>
    <definedName name="EV_OVER_REVENUE_EST" hidden="1">"EV_OVER_REVENUE_EST"</definedName>
    <definedName name="EV_OVER_REVENUE_EST_1" hidden="1">"EV_OVER_REVENUE_EST_1"</definedName>
    <definedName name="EXCHANGE" hidden="1">"EXCHANGE"</definedName>
    <definedName name="EXTRA_ITEMS" hidden="1">"EXTRA_ITEMS"</definedName>
    <definedName name="FINANCING_CASH" hidden="1">"FINANCING_CASH"</definedName>
    <definedName name="FOREIGN_EXCHANGE" hidden="1">"FOREIGN_EXCHANGE"</definedName>
    <definedName name="FY_DATE" hidden="1">"FY_DATE"</definedName>
    <definedName name="GAIN_SALE_ASSETS" hidden="1">"GAIN_SALE_ASSETS"</definedName>
    <definedName name="GOODWILL_NET" hidden="1">"GOODWILL_NET"</definedName>
    <definedName name="GROSS_DIVID" hidden="1">"GROSS_DIVID"</definedName>
    <definedName name="GROSS_MARGIN" hidden="1">"GROSS_MARGIN"</definedName>
    <definedName name="Gross_Net_Spread">Track_Record!$E$12</definedName>
    <definedName name="GROSS_PROFIT" hidden="1">"GROSS_PROFIT"</definedName>
    <definedName name="HIGHPRICE" hidden="1">"HIGHPRICE"</definedName>
    <definedName name="Hurdle">Track_Record!$E$9</definedName>
    <definedName name="INC_AFTER_TAX" hidden="1">"INC_AFTER_TAX"</definedName>
    <definedName name="INC_AVAIL_EXCL" hidden="1">"INC_AVAIL_EXCL"</definedName>
    <definedName name="INC_AVAIL_INCL" hidden="1">"INC_AVAIL_INCL"</definedName>
    <definedName name="INC_BEFORE_TAX" hidden="1">"INC_BEFORE_TAX"</definedName>
    <definedName name="INC_TAX" hidden="1">"INC_TAX"</definedName>
    <definedName name="INC_TAX_EXCL" hidden="1">"INC_TAX_EXCL"</definedName>
    <definedName name="INTANGIBLES_NET" hidden="1">"INTANGIBLES_NET"</definedName>
    <definedName name="INTEREST_EXP_NET" hidden="1">"INTEREST_EXP_NET"</definedName>
    <definedName name="INTEREST_EXP_NON" hidden="1">"INTEREST_EXP_NON"</definedName>
    <definedName name="INTEREST_EXP_SUPPL" hidden="1">"INTEREST_EXP_SUPPL"</definedName>
    <definedName name="INTEREST_INC" hidden="1">"INTEREST_INC"</definedName>
    <definedName name="INTEREST_INC_10K" hidden="1">"INTEREST_INC_10K"</definedName>
    <definedName name="INTEREST_INC_10Q" hidden="1">"INTEREST_INC_10Q"</definedName>
    <definedName name="INTEREST_INC_10Q1" hidden="1">"INTEREST_INC_10Q1"</definedName>
    <definedName name="INTEREST_INC_NON" hidden="1">"INTEREST_INC_NON"</definedName>
    <definedName name="INVENTORY_TURNS" hidden="1">"INVENTORY_TURNS"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QUIRED_BY_REPORTING_BANK_FDIC" hidden="1">"c6535"</definedName>
    <definedName name="IQ_ADDIN" hidden="1">"AUTO"</definedName>
    <definedName name="IQ_ADDITIONAL_NON_INT_INC_FDIC" hidden="1">"c6574"</definedName>
    <definedName name="IQ_ADJUSTABLE_RATE_LOANS_FDIC" hidden="1">"c6375"</definedName>
    <definedName name="IQ_AE_BR" hidden="1">"c10"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MENDED_BALANCE_PREVIOUS_YR_FDIC" hidden="1">"c6499"</definedName>
    <definedName name="IQ_AMORT_EXPENSE_FDIC" hidden="1">"c6677"</definedName>
    <definedName name="IQ_AMORTIZED_COST_FDIC" hidden="1">"c6426"</definedName>
    <definedName name="IQ_AP_BR" hidden="1">"c34"</definedName>
    <definedName name="IQ_AR_BR" hidden="1">"c41"</definedName>
    <definedName name="IQ_ASSET_BACKED_FDIC" hidden="1">"c6301"</definedName>
    <definedName name="IQ_ASSET_WRITEDOWN_BR" hidden="1">"c50"</definedName>
    <definedName name="IQ_ASSET_WRITEDOWN_CF_BR" hidden="1">"c53"</definedName>
    <definedName name="IQ_ASSETS_HELD_FDIC" hidden="1">"c6305"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ROKER_REC_NO_REUT" hidden="1">"c5315"</definedName>
    <definedName name="IQ_AVG_BROKER_REC_REUT" hidden="1">"c3630"</definedName>
    <definedName name="IQ_AVG_PRICE_TARGET" hidden="1">"c82"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CAPEX_BR" hidden="1">"c111"</definedName>
    <definedName name="IQ_CASH_DIVIDENDS_NET_INCOME_FDIC" hidden="1">"c6738"</definedName>
    <definedName name="IQ_CASH_IN_PROCESS_FDIC" hidden="1">"c6386"</definedName>
    <definedName name="IQ_CCE_FDIC" hidden="1">"c6296"</definedName>
    <definedName name="IQ_CH" hidden="1">110000</definedName>
    <definedName name="IQ_CHANGE_AP_BR" hidden="1">"c135"</definedName>
    <definedName name="IQ_CHANGE_AR_BR" hidden="1">"c142"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OTHER_NET_OPER_ASSETS_BR" hidden="1">"c3595"</definedName>
    <definedName name="IQ_CHANGE_OTHER_WORK_CAP_BR" hidden="1">"c154"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MO_FDIC" hidden="1">"c6406"</definedName>
    <definedName name="IQ_COLLECTION_DOMESTIC_FDIC" hidden="1">"c6387"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_APIC_BR" hidden="1">"c185"</definedName>
    <definedName name="IQ_COMMON_FDIC" hidden="1">"c6350"</definedName>
    <definedName name="IQ_COMMON_ISSUED_BR" hidden="1">"c199"</definedName>
    <definedName name="IQ_COMMON_REP_BR" hidden="1">"c208"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TRACTS_OTHER_COMMODITIES_EQUITIES._FDIC" hidden="1">"c6522"</definedName>
    <definedName name="IQ_CONTRACTS_OTHER_COMMODITIES_EQUITIES_FDIC" hidden="1">"c6522"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OF_FUNDING_ASSETS_FDIC" hidden="1">"c6725"</definedName>
    <definedName name="IQ_CQ" hidden="1">5000</definedName>
    <definedName name="IQ_CREDIT_CARD_CHARGE_OFFS_FDIC" hidden="1">"c6652"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PROVISION_NET_CHARGE_OFFS_FDIC" hidden="1">"c6734"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ENCY_COIN_DOMESTIC_FDIC" hidden="1">"c6388"</definedName>
    <definedName name="IQ_CURRENCY_GAIN_BR" hidden="1">"c236"</definedName>
    <definedName name="IQ_CURRENT_PORT_DEBT_BR" hidden="1">"c1567"</definedName>
    <definedName name="IQ_CY" hidden="1">10000</definedName>
    <definedName name="IQ_DA_BR" hidden="1">"c248"</definedName>
    <definedName name="IQ_DA_CF_BR" hidden="1">"c251"</definedName>
    <definedName name="IQ_DA_SUPPL_BR" hidden="1">"c260"</definedName>
    <definedName name="IQ_DA_SUPPL_CF_BR" hidden="1">"c263"</definedName>
    <definedName name="IQ_DAILY" hidden="1">500000</definedName>
    <definedName name="IQ_DEF_AMORT_BR" hidden="1">"c278"</definedName>
    <definedName name="IQ_DEF_CHARGES_BR" hidden="1">"c288"</definedName>
    <definedName name="IQ_DEF_CHARGES_LT_BR" hidden="1">"c294"</definedName>
    <definedName name="IQ_DEF_TAX_ASSET_LT_BR" hidden="1">"c304"</definedName>
    <definedName name="IQ_DEF_TAX_LIAB_LT_BR" hidden="1">"c315"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HELD_DOMESTIC_FDIC" hidden="1">"c6340"</definedName>
    <definedName name="IQ_DEPOSITS_HELD_FOREIGN_FDIC" hidden="1">"c6341"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RIVATIVES_FDIC" hidden="1">"c6523"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TM" hidden="1">700000</definedName>
    <definedName name="IQ_EARNING_ASSETS_FDIC" hidden="1">"c6360"</definedName>
    <definedName name="IQ_EARNING_ASSETS_YIELD_FDIC" hidden="1">"c6724"</definedName>
    <definedName name="IQ_EARNINGS_ANNOUNCE_DATE_REUT" hidden="1">"c5314"</definedName>
    <definedName name="IQ_EARNINGS_COVERAGE_NET_CHARGE_OFFS_FDIC" hidden="1">"c6735"</definedName>
    <definedName name="IQ_EBITDA_EST_REUT" hidden="1">"c3640"</definedName>
    <definedName name="IQ_EBITDA_HIGH_EST_REUT" hidden="1">"c3642"</definedName>
    <definedName name="IQ_EBITDA_LOW_EST_REUT" hidden="1">"c3643"</definedName>
    <definedName name="IQ_EBITDA_MEDIAN_EST_REUT" hidden="1">"c3641"</definedName>
    <definedName name="IQ_EBITDA_NUM_EST_REUT" hidden="1">"c3644"</definedName>
    <definedName name="IQ_EBITDA_STDDEV_EST_REUT" hidden="1">"c3645"</definedName>
    <definedName name="IQ_EBT_BR" hidden="1">"c378"</definedName>
    <definedName name="IQ_EBT_EXCL_BR" hidden="1">"c381"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FFICIENCY_RATIO_FDIC" hidden="1">"c6736"</definedName>
    <definedName name="IQ_EPS" hidden="1">"IQ_EPS"</definedName>
    <definedName name="IQ_EPS_EST_REUT" hidden="1">"c5453"</definedName>
    <definedName name="IQ_EPS_HIGH_EST_REUT" hidden="1">"c5454"</definedName>
    <definedName name="IQ_EPS_LOW_EST_REUT" hidden="1">"c5455"</definedName>
    <definedName name="IQ_EPS_MEDIAN_EST_REUT" hidden="1">"c5456"</definedName>
    <definedName name="IQ_EPS_NUM_EST_REUT" hidden="1">"c5451"</definedName>
    <definedName name="IQ_EPS_STDDEV_EST_REUT" hidden="1">"c5452"</definedName>
    <definedName name="IQ_EQUITY_CAPITAL_ASSETS_FDIC" hidden="1">"c6744"</definedName>
    <definedName name="IQ_EQUITY_FDIC" hidden="1">"c6353"</definedName>
    <definedName name="IQ_EQUITY_SECURITIES_FDIC" hidden="1">"c6304"</definedName>
    <definedName name="IQ_EQUITY_SECURITY_EXPOSURES_FDIC" hidden="1">"c6664"</definedName>
    <definedName name="IQ_EST_CURRENCY_REUT" hidden="1">"c5437"</definedName>
    <definedName name="IQ_EST_DATE_REUT" hidden="1">"c5438"</definedName>
    <definedName name="IQ_EST_EPS_GROWTH_1YR_REUT" hidden="1">"c3646"</definedName>
    <definedName name="IQ_EST_EPS_GROWTH_5YR_REUT" hidden="1">"c3633"</definedName>
    <definedName name="IQ_EST_EPS_GROWTH_Q_1YR_REUT" hidden="1">"c5410"</definedName>
    <definedName name="IQ_ESTIMATED_ASSESSABLE_DEPOSITS_FDIC" hidden="1">"c6490"</definedName>
    <definedName name="IQ_ESTIMATED_INSURED_DEPOSITS_FDIC" hidden="1">"c6491"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_BR" hidden="1">"c412"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ED_FUNDS_PURCHASED_FDIC" hidden="1">"c6343"</definedName>
    <definedName name="IQ_FED_FUNDS_SOLD_FDIC" hidden="1">"c6307"</definedName>
    <definedName name="IQ_FH" hidden="1">100000</definedName>
    <definedName name="IQ_FHLB_ADVANCES_FDIC" hidden="1">"c6366"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N_DIV_CURRENT_PORT_DEBT_TOTAL" hidden="1">"c5524"</definedName>
    <definedName name="IQ_FIN_DIV_CURRENT_PORT_LEASES_TOTAL" hidden="1">"c5523"</definedName>
    <definedName name="IQ_FIN_DIV_DEBT_LT_TOTAL" hidden="1">"c5526"</definedName>
    <definedName name="IQ_FIN_DIV_LEASES_LT_TOTAL" hidden="1">"c5525"</definedName>
    <definedName name="IQ_FIN_DIV_NOTES_PAY_TOTAL" hidden="1">"c5522"</definedName>
    <definedName name="IQ_FIVE_YEAR_FIXED_AND_FLOATING_RATE_FDIC" hidden="1">"c6422"</definedName>
    <definedName name="IQ_FIVE_YEAR_MORTGAGE_PASS_THROUGHS_FDIC" hidden="1">"c6414"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OSITS_NONTRANSACTION_ACCOUNTS_FDIC" hidden="1">"c6549"</definedName>
    <definedName name="IQ_FOREIGN_DEPOSITS_TRANSACTION_ACCOUNTS_FDIC" hidden="1">"c6541"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Q" hidden="1">500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_CONTRACTS_FDIC" hidden="1">"c6517"</definedName>
    <definedName name="IQ_FX_CONTRACTS_SPOT_FDIC" hidden="1">"c6356"</definedName>
    <definedName name="IQ_FY" hidden="1">1000</definedName>
    <definedName name="IQ_FY_DATE" hidden="1">"IQ_FY_DATE"</definedName>
    <definedName name="IQ_GAIN_ASSETS_BR" hidden="1">"c454"</definedName>
    <definedName name="IQ_GAIN_ASSETS_CF_BR" hidden="1">"c457"</definedName>
    <definedName name="IQ_GAIN_ASSETS_REV_BR" hidden="1">"c474"</definedName>
    <definedName name="IQ_GAIN_INVEST_BR" hidden="1">"c1464"</definedName>
    <definedName name="IQ_GAIN_INVEST_CF_BR" hidden="1">"c482"</definedName>
    <definedName name="IQ_GAIN_INVEST_REV_BR" hidden="1">"c496"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W_AMORT_BR" hidden="1">"c532"</definedName>
    <definedName name="IQ_GW_INTAN_AMORT_BR" hidden="1">"c1470"</definedName>
    <definedName name="IQ_GW_INTAN_AMORT_CF_BR" hidden="1">"c1473"</definedName>
    <definedName name="IQ_HELD_MATURITY_FDIC" hidden="1">"c6408"</definedName>
    <definedName name="IQ_HIGH_TARGET_PRICE_REUT" hidden="1">"c5317"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NC_EQUITY_BR" hidden="1">"c550"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S_SETTLE_BR" hidden="1">"c572"</definedName>
    <definedName name="IQ_INSIDER_LOANS_FDIC" hidden="1">"c6365"</definedName>
    <definedName name="IQ_INSTITUTIONS_EARNINGS_GAINS_FDIC" hidden="1">"c6723"</definedName>
    <definedName name="IQ_INSURANCE_COMMISSION_FEES_FDIC" hidden="1">"c6670"</definedName>
    <definedName name="IQ_INSURANCE_UNDERWRITING_INCOME_FDIC" hidden="1">"c6671"</definedName>
    <definedName name="IQ_INT_DEMAND_NOTES_FDIC" hidden="1">"c6567"</definedName>
    <definedName name="IQ_INT_DOMESTIC_DEPOSITS_FDIC" hidden="1">"c6564"</definedName>
    <definedName name="IQ_INT_EXP_BR" hidden="1">"c586"</definedName>
    <definedName name="IQ_INT_EXP_TOTAL_FDIC" hidden="1">"c6569"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OREIGN_LOANS_FDIC" hidden="1">"c6556"</definedName>
    <definedName name="IQ_INT_INC_LEASE_RECEIVABLES_FDIC" hidden="1">"c6557"</definedName>
    <definedName name="IQ_INT_INC_OTHER_FDIC" hidden="1">"c6562"</definedName>
    <definedName name="IQ_INT_INC_SECURITIES_FDIC" hidden="1">"c6559"</definedName>
    <definedName name="IQ_INT_INC_TOTAL_FDIC" hidden="1">"c6563"</definedName>
    <definedName name="IQ_INT_INC_TRADING_ACCOUNTS_FDIC" hidden="1">"c6560"</definedName>
    <definedName name="IQ_INT_SUB_NOTES_FDIC" hidden="1">"c6568"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RATE_CONTRACTS_FDIC" hidden="1">"c6512"</definedName>
    <definedName name="IQ_INTEREST_RATE_EXPOSURES_FDIC" hidden="1">"c6662"</definedName>
    <definedName name="IQ_INVEST_LOANS_CF_BR" hidden="1">"c630"</definedName>
    <definedName name="IQ_INVEST_SECURITY_CF_BR" hidden="1">"c639"</definedName>
    <definedName name="IQ_INVESTMENT_BANKING_OTHER_FEES_FDIC" hidden="1">"c6666"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UED_GUARANTEED_US_FDIC" hidden="1">"c6404"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_BR" hidden="1">"c649"</definedName>
    <definedName name="IQ_LIFE_INSURANCE_ASSETS_FDIC" hidden="1">"c6372"</definedName>
    <definedName name="IQ_LOAN_COMMITMENTS_REVOLVING_FDIC" hidden="1">"c6524"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S_AND_LEASES_HELD_FDIC" hidden="1">"c6367"</definedName>
    <definedName name="IQ_LOANS_CF_BR" hidden="1">"c661"</definedName>
    <definedName name="IQ_LOANS_DEPOSITORY_INSTITUTIONS_FDIC" hidden="1">"c6382"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SS_ALLOWANCE_LOANS_FDIC" hidden="1">"c6739"</definedName>
    <definedName name="IQ_LOW_TARGET_PRICE_REUT" hidden="1">"c5318"</definedName>
    <definedName name="IQ_LT_DEBT_BR" hidden="1">"c676"</definedName>
    <definedName name="IQ_LT_DEBT_ISSUED_BR" hidden="1">"c683"</definedName>
    <definedName name="IQ_LT_DEBT_REPAID_BR" hidden="1">"c691"</definedName>
    <definedName name="IQ_LT_INVEST_BR" hidden="1">"c698"</definedName>
    <definedName name="IQ_LTM" hidden="1">2000</definedName>
    <definedName name="IQ_LTM_DATE" hidden="1">"IQ_LTM_DATE"</definedName>
    <definedName name="IQ_LTMMONTH" hidden="1">120000</definedName>
    <definedName name="IQ_MATURITY_ONE_YEAR_LESS_FDIC" hidden="1">"c6425"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_REUT" hidden="1">"c5316"</definedName>
    <definedName name="IQ_MERGER_BR" hidden="1">"c715"</definedName>
    <definedName name="IQ_MERGER_RESTRUCTURE_BR" hidden="1">"c721"</definedName>
    <definedName name="IQ_MINORITY_INTEREST_BR" hidden="1">"c729"</definedName>
    <definedName name="IQ_MKTCAP_TOTAL_REV_FWD_REUT" hidden="1">"c4048"</definedName>
    <definedName name="IQ_MONEY_MARKET_DEPOSIT_ACCOUNTS_FDIC" hidden="1">"c6553"</definedName>
    <definedName name="IQ_MONTH" hidden="1">15000</definedName>
    <definedName name="IQ_MORTGAGE_BACKED_SECURITIES_FDIC" hidden="1">"c6402"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"06/17/2014 07:10:49"</definedName>
    <definedName name="IQ_NET_CHARGE_OFFS_FDIC" hidden="1">"c6641"</definedName>
    <definedName name="IQ_NET_CHARGE_OFFS_LOANS_FDIC" hidden="1">"c6751"</definedName>
    <definedName name="IQ_NET_DEBT_ISSUED_BR" hidden="1">"c753"</definedName>
    <definedName name="IQ_NET_INCOME_FDIC" hidden="1">"c6587"</definedName>
    <definedName name="IQ_NET_INT_INC_BNK_FDIC" hidden="1">"c6570"</definedName>
    <definedName name="IQ_NET_INT_INC_BR" hidden="1">"c765"</definedName>
    <definedName name="IQ_NET_INTEREST_MARGIN_FDIC" hidden="1">"c6726"</definedName>
    <definedName name="IQ_NET_LOANS_LEASES_CORE_DEPOSITS_FDIC" hidden="1">"c6743"</definedName>
    <definedName name="IQ_NET_LOANS_LEASES_DEPOSITS_FDIC" hidden="1">"c6742"</definedName>
    <definedName name="IQ_NET_OPERATING_INCOME_ASSETS_FDIC" hidden="1">"c6729"</definedName>
    <definedName name="IQ_NET_SECURITIZATION_INCOME_FDIC" hidden="1">"c6669"</definedName>
    <definedName name="IQ_NET_SERVICING_FEES_FDIC" hidden="1">"c6668"</definedName>
    <definedName name="IQ_NON_INT_EXP_FDIC" hidden="1">"c6579"</definedName>
    <definedName name="IQ_NON_INT_INC_FDIC" hidden="1">"c6575"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TM" hidden="1">6000</definedName>
    <definedName name="IQ_NUMBER_DEPOSITS_LESS_THAN_100K_FDIC" hidden="1">"c6495"</definedName>
    <definedName name="IQ_NUMBER_DEPOSITS_MORE_THAN_100K_FDIC" hidden="1">"c6493"</definedName>
    <definedName name="IQ_OBLIGATIONS_OF_STATES_TOTAL_LOANS_FOREIGN_FDIC" hidden="1">"c6447"</definedName>
    <definedName name="IQ_OBLIGATIONS_STATES_FDIC" hidden="1">"c6431"</definedName>
    <definedName name="IQ_OG_TOTAL_OIL_PRODUCTON" hidden="1">"c2059"</definedName>
    <definedName name="IQ_OPER_INC_BR" hidden="1">"c850"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MORT_BR" hidden="1">"c5566"</definedName>
    <definedName name="IQ_OTHER_ASSETS_BR" hidden="1">"c862"</definedName>
    <definedName name="IQ_OTHER_ASSETS_FDIC" hidden="1">"c6338"</definedName>
    <definedName name="IQ_OTHER_BORROWED_FUNDS_FDIC" hidden="1">"c6345"</definedName>
    <definedName name="IQ_OTHER_CA_SUPPL_BR" hidden="1">"c871"</definedName>
    <definedName name="IQ_OTHER_CL_SUPPL_BR" hidden="1">"c880"</definedName>
    <definedName name="IQ_OTHER_COMPREHENSIVE_INCOME_FDIC" hidden="1">"c6503"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QUITY_BR" hidden="1">"c888"</definedName>
    <definedName name="IQ_OTHER_FINANCE_ACT_BR" hidden="1">"c895"</definedName>
    <definedName name="IQ_OTHER_FINANCE_ACT_SUPPL_BR" hidden="1">"c901"</definedName>
    <definedName name="IQ_OTHER_INSURANCE_FEES_FDIC" hidden="1">"c6672"</definedName>
    <definedName name="IQ_OTHER_INTAN_BR" hidden="1">"c909"</definedName>
    <definedName name="IQ_OTHER_INTANGIBLE_FDIC" hidden="1">"c6337"</definedName>
    <definedName name="IQ_OTHER_INVEST_ACT_BR" hidden="1">"c918"</definedName>
    <definedName name="IQ_OTHER_INVEST_ACT_SUPPL_BR" hidden="1">"c924"</definedName>
    <definedName name="IQ_OTHER_LIAB_BR" hidden="1">"c932"</definedName>
    <definedName name="IQ_OTHER_LIAB_LT_BR" hidden="1">"c937"</definedName>
    <definedName name="IQ_OTHER_LIABILITIES_FDIC" hidden="1">"c6347"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T_ASSETS_BR" hidden="1">"c948"</definedName>
    <definedName name="IQ_OTHER_NON_INT_EXP_FDIC" hidden="1">"c6578"</definedName>
    <definedName name="IQ_OTHER_NON_INT_EXPENSE_FDIC" hidden="1">"c6679"</definedName>
    <definedName name="IQ_OTHER_NON_INT_INC_FDIC" hidden="1">"c6676"</definedName>
    <definedName name="IQ_OTHER_NON_OPER_EXP_BR" hidden="1">"c957"</definedName>
    <definedName name="IQ_OTHER_NON_OPER_EXP_SUPPL_BR" hidden="1">"c962"</definedName>
    <definedName name="IQ_OTHER_OFF_BS_LIAB_FDIC" hidden="1">"c6533"</definedName>
    <definedName name="IQ_OTHER_OPER_ACT_BR" hidden="1">"c985"</definedName>
    <definedName name="IQ_OTHER_OPER_BR" hidden="1">"c990"</definedName>
    <definedName name="IQ_OTHER_OPER_SUPPL_BR" hidden="1">"c994"</definedName>
    <definedName name="IQ_OTHER_OPER_TOT_BR" hidden="1">"c1000"</definedName>
    <definedName name="IQ_OTHER_RE_OWNED_FDIC" hidden="1">"c6330"</definedName>
    <definedName name="IQ_OTHER_REV_BR" hidden="1">"c1011"</definedName>
    <definedName name="IQ_OTHER_REV_SUPPL_BR" hidden="1">"c1016"</definedName>
    <definedName name="IQ_OTHER_SAVINGS_DEPOSITS_FDIC" hidden="1">"c6554"</definedName>
    <definedName name="IQ_OTHER_TRANSACTIONS_FDIC" hidden="1">"c6504"</definedName>
    <definedName name="IQ_OTHER_UNUSED_COMMITMENTS_FDIC" hidden="1">"c6530"</definedName>
    <definedName name="IQ_OTHER_UNUSUAL_BR" hidden="1">"c1561"</definedName>
    <definedName name="IQ_OTHER_UNUSUAL_SUPPL_BR" hidden="1">"c1496"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C_WRITTEN" hidden="1">"c1027"</definedName>
    <definedName name="IQ_PE_EXCL_FWD_REUT" hidden="1">"c4049"</definedName>
    <definedName name="IQ_PEG_FWD_REUT" hidden="1">"c4052"</definedName>
    <definedName name="IQ_PERCENT_INSURED_FDIC" hidden="1">"c6374"</definedName>
    <definedName name="IQ_PLEDGED_SECURITIES_FDIC" hidden="1">"c6401"</definedName>
    <definedName name="IQ_PRE_TAX_INCOME_FDIC" hidden="1">"c6581"</definedName>
    <definedName name="IQ_PREF_ISSUED_BR" hidden="1">"c1047"</definedName>
    <definedName name="IQ_PREF_OTHER_BR" hidden="1">"c1055"</definedName>
    <definedName name="IQ_PREF_REP_BR" hidden="1">"c1062"</definedName>
    <definedName name="IQ_PREFERRED_FDIC" hidden="1">"c6349"</definedName>
    <definedName name="IQ_PREMISES_EQUIPMENT_FDIC" hidden="1">"c6577"</definedName>
    <definedName name="IQ_PRETAX_RETURN_ASSETS_FDIC" hidden="1">"c6731"</definedName>
    <definedName name="IQ_PRICE_TARGET_REUT" hidden="1">"c3631"</definedName>
    <definedName name="IQ_PRICEDATETIME" hidden="1">"IQ_PRICEDATETIME"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QTD" hidden="1">750000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LATED_PLANS_FDIC" hidden="1">"c6320"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IDENTIAL_LOANS" hidden="1">"c1102"</definedName>
    <definedName name="IQ_RESTATEMENTS_NET_FDIC" hidden="1">"c6500"</definedName>
    <definedName name="IQ_RESTRUCTURE_BR" hidden="1">"c1106"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DEPOSITS_FDIC" hidden="1">"c6488"</definedName>
    <definedName name="IQ_RETAINED_EARNINGS_AVERAGE_EQUITY_FDIC" hidden="1">"c6733"</definedName>
    <definedName name="IQ_RETURN_ASSETS_BROK" hidden="1">"c1115"</definedName>
    <definedName name="IQ_RETURN_ASSETS_FDIC" hidden="1">"c6730"</definedName>
    <definedName name="IQ_RETURN_EQUITY_BROK" hidden="1">"c1120"</definedName>
    <definedName name="IQ_RETURN_EQUITY_FDIC" hidden="1">"c6732"</definedName>
    <definedName name="IQ_REV_STDDEV_EST_REUT" hidden="1">"c3639"</definedName>
    <definedName name="IQ_REVALUATION_GAINS_FDIC" hidden="1">"c6428"</definedName>
    <definedName name="IQ_REVALUATION_LOSSES_FDIC" hidden="1">"c6429"</definedName>
    <definedName name="IQ_REVENUE_EST_REUT" hidden="1">"c3634"</definedName>
    <definedName name="IQ_REVENUE_HIGH_EST_REUT" hidden="1">"c3636"</definedName>
    <definedName name="IQ_REVENUE_LOW_EST_REUT" hidden="1">"c3637"</definedName>
    <definedName name="IQ_REVENUE_MEDIAN_EST_REUT" hidden="1">"c3635"</definedName>
    <definedName name="IQ_REVENUE_NUM_EST_REUT" hidden="1">"c3638"</definedName>
    <definedName name="IQ_RISK_WEIGHTED_ASSETS_FDIC" hidden="1">"c6370"</definedName>
    <definedName name="IQ_SALARY_FDIC" hidden="1">"c6576"</definedName>
    <definedName name="IQ_SALE_CONVERSION_RETIREMENT_STOCK_FDIC" hidden="1">"c6661"</definedName>
    <definedName name="IQ_SALE_INTAN_CF_BR" hidden="1">"c1133"</definedName>
    <definedName name="IQ_SALE_PPE_CF_BR" hidden="1">"c1139"</definedName>
    <definedName name="IQ_SALE_REAL_ESTATE_CF_BR" hidden="1">"c1145"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RVICE_CHARGES_FDIC" hidden="1">"c6572"</definedName>
    <definedName name="IQ_SHAREOUTSTANDING" hidden="1">"c1347"</definedName>
    <definedName name="IQ_SPECIAL_DIV_CF_BR" hidden="1">"c1171"</definedName>
    <definedName name="IQ_ST_DEBT_BR" hidden="1">"c1178"</definedName>
    <definedName name="IQ_ST_DEBT_ISSUED_BR" hidden="1">"c1183"</definedName>
    <definedName name="IQ_ST_DEBT_REPAID_BR" hidden="1">"c1191"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UB_DEBT_FDIC" hidden="1">"c6346"</definedName>
    <definedName name="IQ_SURPLUS_FDIC" hidden="1">"c6351"</definedName>
    <definedName name="IQ_TARGET_PRICE_NUM_REUT" hidden="1">"c5319"</definedName>
    <definedName name="IQ_TARGET_PRICE_STDDEV_REUT" hidden="1">"c5320"</definedName>
    <definedName name="IQ_TEV_EBITDA_FWD_REUT" hidden="1">"c4050"</definedName>
    <definedName name="IQ_TEV_TOTAL_REV_FWD_REUT" hidden="1">"c4051"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FDIC" hidden="1">"c6369"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AL_AR_BR" hidden="1">"c1231"</definedName>
    <definedName name="IQ_TOTAL_ASSETS_FDIC" hidden="1">"c6339"</definedName>
    <definedName name="IQ_TOTAL_CHARGE_OFFS_FDIC" hidden="1">"c6603"</definedName>
    <definedName name="IQ_TOTAL_DEBT_ISSUED_BR" hidden="1">"c1253"</definedName>
    <definedName name="IQ_TOTAL_DEBT_REPAID_BR" hidden="1">"c1260"</definedName>
    <definedName name="IQ_TOTAL_DEBT_SECURITIES_FDIC" hidden="1">"c6410"</definedName>
    <definedName name="IQ_TOTAL_DEPOSITS_FDIC" hidden="1">"c6342"</definedName>
    <definedName name="IQ_TOTAL_EMPLOYEES_FDIC" hidden="1">"c6355"</definedName>
    <definedName name="IQ_TOTAL_LIAB_BR" hidden="1">"c1278"</definedName>
    <definedName name="IQ_TOTAL_LIAB_EQUITY_FDIC" hidden="1">"c6354"</definedName>
    <definedName name="IQ_TOTAL_LIABILITIES_FDIC" hidden="1">"c6348"</definedName>
    <definedName name="IQ_TOTAL_OPER_EXP_BR" hidden="1">"c1284"</definedName>
    <definedName name="IQ_TOTAL_PENSION_OBLIGATION" hidden="1">"c1292"</definedName>
    <definedName name="IQ_TOTAL_RECOVERIES_FDIC" hidden="1">"c6622"</definedName>
    <definedName name="IQ_TOTAL_REV_BNK_FDIC" hidden="1">"c6786"</definedName>
    <definedName name="IQ_TOTAL_REV_BR" hidden="1">"c1303"</definedName>
    <definedName name="IQ_TOTAL_RISK_BASED_CAPITAL_RATIO_FDIC" hidden="1">"c6747"</definedName>
    <definedName name="IQ_TOTAL_SECURITIES_FDIC" hidden="1">"c6306"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_BR" hidden="1">"c5517"</definedName>
    <definedName name="IQ_TRADING_ACCOUNT_GAINS_FEES_FDIC" hidden="1">"c6573"</definedName>
    <definedName name="IQ_TRADING_ASSETS_FDIC" hidden="1">"c6328"</definedName>
    <definedName name="IQ_TRADING_LIABILITIES_FDIC" hidden="1">"c6344"</definedName>
    <definedName name="IQ_TRANSACTION_ACCOUNTS_FDIC" hidden="1">"c6544"</definedName>
    <definedName name="IQ_TREASURY_OTHER_EQUITY_BR" hidden="1">"c1314"</definedName>
    <definedName name="IQ_TREASURY_STOCK_TRANSACTIONS_FDIC" hidden="1">"c6501"</definedName>
    <definedName name="IQ_TWELVE_MONTHS_FIXED_AND_FLOATING_FDIC" hidden="1">"c6420"</definedName>
    <definedName name="IQ_TWELVE_MONTHS_MORTGAGE_PASS_THROUGHS_FDIC" hidden="1">"c6412"</definedName>
    <definedName name="IQ_UNDIVIDED_PROFITS_FDIC" hidden="1">"c6352"</definedName>
    <definedName name="IQ_UNEARN_REV_CURRENT_BR" hidden="1">"c1324"</definedName>
    <definedName name="IQ_UNEARNED_INCOME_FDIC" hidden="1">"c6324"</definedName>
    <definedName name="IQ_UNEARNED_INCOME_FOREIGN_FDIC" hidden="1">"c6385"</definedName>
    <definedName name="IQ_UNPROFITABLE_INSTITUTIONS_FDIC" hidden="1">"c6722"</definedName>
    <definedName name="IQ_UNUSED_LOAN_COMMITMENTS_FDIC" hidden="1">"c6368"</definedName>
    <definedName name="IQ_US_BRANCHES_FOREIGN_BANK_LOANS_FDIC" hidden="1">"c6435"</definedName>
    <definedName name="IQ_US_BRANCHES_FOREIGN_BANKS_FDIC" hidden="1">"c6390"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VALUATION_ALLOWANCES_FDIC" hidden="1">"c6400"</definedName>
    <definedName name="IQ_VC_REVENUE_FDIC" hidden="1">"c6667"</definedName>
    <definedName name="IQ_VOLATILE_LIABILITIES_FDIC" hidden="1">"c6364"</definedName>
    <definedName name="IQ_WEEK" hidden="1">50000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YTD" hidden="1">3000</definedName>
    <definedName name="IQ_YTDMONTH" hidden="1">130000</definedName>
    <definedName name="ISS_DEBT_NET" hidden="1">"ISS_DEBT_NET"</definedName>
    <definedName name="ISS_STOCK_NET" hidden="1">"ISS_STOCK_NET"</definedName>
    <definedName name="LAST_EBIT_MARGIN" hidden="1">"LAST_EBIT_MARGIN"</definedName>
    <definedName name="LAST_EBITDA_MARGIN" hidden="1">"LAST_EBITDA_MARGIN"</definedName>
    <definedName name="LAST_GROSS_MARGIN" hidden="1">"LAST_GROSS_MARGIN"</definedName>
    <definedName name="LAST_NET_INC_MARGIN" hidden="1">"LAST_NET_INC_MARGIN"</definedName>
    <definedName name="LASTSALEPRICE" hidden="1">"LASTSALEPRICE"</definedName>
    <definedName name="LATESTK" hidden="1">1000</definedName>
    <definedName name="LATESTKNONPRESS" hidden="1">50</definedName>
    <definedName name="LATESTQ" hidden="1">500</definedName>
    <definedName name="LATESTQNONPRESS" hidden="1">100</definedName>
    <definedName name="LOAN_LOSS" hidden="1">"LOAN_LOSS"</definedName>
    <definedName name="LONG_TERM_DEBT" hidden="1">"LONG_TERM_DEBT"</definedName>
    <definedName name="LONG_TERM_GROWTH" hidden="1">"LONG_TERM_GROWTH"</definedName>
    <definedName name="LONG_TERM_INV" hidden="1">"LONG_TERM_INV"</definedName>
    <definedName name="LOWPRICE" hidden="1">"LOWPRICE"</definedName>
    <definedName name="LTM_DATE" hidden="1">"LTM_DATE"</definedName>
    <definedName name="LTM_REVENUE_OVER_EMPLOYEES" hidden="1">"LTM_REVENUE_OVER_EMPLOYEES"</definedName>
    <definedName name="MARKETCAP" hidden="1">"MARKETCAP"</definedName>
    <definedName name="MINORITY_INTEREST" hidden="1">"MINORITY_INTEREST"</definedName>
    <definedName name="MISC_EARN_ADJ" hidden="1">"MISC_EARN_ADJ"</definedName>
    <definedName name="NET_CHANGE" hidden="1">"NET_CHANGE"</definedName>
    <definedName name="NET_DEBT" hidden="1">"NET_DEBT"</definedName>
    <definedName name="NET_INC" hidden="1">"NET_INC"</definedName>
    <definedName name="NET_INC_10K" hidden="1">"NET_INC_10K"</definedName>
    <definedName name="NET_INC_10Q" hidden="1">"NET_INC_10Q"</definedName>
    <definedName name="NET_INC_10Q1" hidden="1">"NET_INC_10Q1"</definedName>
    <definedName name="NET_INC_BEFORE" hidden="1">"NET_INC_BEFORE"</definedName>
    <definedName name="NET_INC_GROWTH_1" hidden="1">"NET_INC_GROWTH_1"</definedName>
    <definedName name="NET_INC_GROWTH_2" hidden="1">"NET_INC_GROWTH_2"</definedName>
    <definedName name="NET_INC_MARGIN" hidden="1">"NET_INC_MARGIN"</definedName>
    <definedName name="NET_INTEREST_INC" hidden="1">"NET_INTEREST_INC"</definedName>
    <definedName name="NET_INTEREST_INC_AFTER_LL" hidden="1">"NET_INTEREST_INC_AFTER_LL"</definedName>
    <definedName name="NET_LOANS" hidden="1">"NET_LOANS"</definedName>
    <definedName name="NON_CASH" hidden="1">"NON_CASH"</definedName>
    <definedName name="NON_INTEREST_EXP" hidden="1">"NON_INTEREST_EXP"</definedName>
    <definedName name="NON_INTEREST_INC" hidden="1">"NON_INTEREST_INC"</definedName>
    <definedName name="NORMAL_INC_AFTER" hidden="1">"NORMAL_INC_AFTER"</definedName>
    <definedName name="NORMAL_INC_AVAIL" hidden="1">"NORMAL_INC_AVAIL"</definedName>
    <definedName name="NORMAL_INC_BEFORE" hidden="1">"NORMAL_INC_BEFORE"</definedName>
    <definedName name="NOTES_PAY" hidden="1">"NOTES_PAY"</definedName>
    <definedName name="OPENPRICE" hidden="1">"OPENPRICE"</definedName>
    <definedName name="OPER_INC" hidden="1">"OPER_INC"</definedName>
    <definedName name="OTHER_ASSETS" hidden="1">"OTHER_ASSETS"</definedName>
    <definedName name="OTHER_CURRENT_ASSETS" hidden="1">"OTHER_CURRENT_ASSETS"</definedName>
    <definedName name="OTHER_CURRENT_LIAB" hidden="1">"OTHER_CURRENT_LIAB"</definedName>
    <definedName name="OTHER_EARNING" hidden="1">"OTHER_EARNING"</definedName>
    <definedName name="OTHER_EQUITY" hidden="1">"OTHER_EQUITY"</definedName>
    <definedName name="OTHER_INVESTING" hidden="1">"OTHER_INVESTING"</definedName>
    <definedName name="OTHER_LIAB" hidden="1">"OTHER_LIAB"</definedName>
    <definedName name="OTHER_LONG_TERM" hidden="1">"OTHER_LONG_TERM"</definedName>
    <definedName name="OTHER_NET" hidden="1">"OTHER_NET"</definedName>
    <definedName name="OTHER_OPER" hidden="1">"OTHER_OPER"</definedName>
    <definedName name="OTHER_RECEIV" hidden="1">"OTHER_RECEIV"</definedName>
    <definedName name="OTHER_REVENUE" hidden="1">"OTHER_REVENUE"</definedName>
    <definedName name="PAY_ACCRUED" hidden="1">"PAY_ACCRUED"</definedName>
    <definedName name="PERIODDATE" hidden="1">"PERIODDATE"</definedName>
    <definedName name="Portco_Data">Master_Sheet!$B$7:$P$27</definedName>
    <definedName name="Portco_Fields">Master_Sheet!$B$7:$P$7</definedName>
    <definedName name="Portco_Names">Master_Sheet!$B$7:$B$27</definedName>
    <definedName name="PREF_DIVID" hidden="1">"PREF_DIVID"</definedName>
    <definedName name="PREF_STOCK" hidden="1">"PREF_STOCK"</definedName>
    <definedName name="PREPAID_EXPEN" hidden="1">"PREPAID_EXPEN"</definedName>
    <definedName name="PRETAX_INC" hidden="1">"PRETAX_INC"</definedName>
    <definedName name="PRETAX_INC_10K" hidden="1">"PRETAX_INC_10K"</definedName>
    <definedName name="PRETAX_INC_10Q" hidden="1">"PRETAX_INC_10Q"</definedName>
    <definedName name="PRETAX_INC_10Q1" hidden="1">"PRETAX_INC_10Q1"</definedName>
    <definedName name="PRICE_OVER_EPS_EST" hidden="1">"PRICE_OVER_EPS_EST"</definedName>
    <definedName name="PRICE_OVER_EPS_EST_1" hidden="1">"PRICE_OVER_EPS_EST_1"</definedName>
    <definedName name="PRICE_OVER_LTM_EPS" hidden="1">"PRICE_OVER_LTM_EPS"</definedName>
    <definedName name="_xlnm.Print_Area" localSheetId="0">Master_Sheet!$A$1:$Q$28</definedName>
    <definedName name="_xlnm.Print_Area" localSheetId="2">Public_LBO!$A$1:$L$84</definedName>
    <definedName name="_xlnm.Print_Area" localSheetId="1">Track_Record!$A$1:$Y$74</definedName>
    <definedName name="PRO_FORMA_BASIC_EPS" hidden="1">"PRO_FORMA_BASIC_EPS"</definedName>
    <definedName name="PRO_FORMA_DILUT_EPS" hidden="1">"PRO_FORMA_DILUT_EPS"</definedName>
    <definedName name="PRO_FORMA_NET_INC" hidden="1">"PRO_FORMA_NET_INC"</definedName>
    <definedName name="PROPERTY_GROSS" hidden="1">"PROPERTY_GROSS"</definedName>
    <definedName name="PROPERTY_NET" hidden="1">"PROPERTY_NET"</definedName>
    <definedName name="QUICK_RATIO" hidden="1">"QUICK_RATIO"</definedName>
    <definedName name="REDEEM_PREF_STOCK" hidden="1">"REDEEM_PREF_STOCK"</definedName>
    <definedName name="RESEARCH_DEV" hidden="1">"RESEARCH_DEV"</definedName>
    <definedName name="RETAINED_EARN" hidden="1">"RETAINED_EARN"</definedName>
    <definedName name="RETURN_ASSETS" hidden="1">"RETURN_ASSETS"</definedName>
    <definedName name="RETURN_EQUITY" hidden="1">"RETURN_EQUITY"</definedName>
    <definedName name="RETURN_INVESTMENT" hidden="1">"RETURN_INVESTMENT"</definedName>
    <definedName name="REVENUE" hidden="1">"REVENUE"</definedName>
    <definedName name="REVENUE_10K" hidden="1">"REVENUE_10K"</definedName>
    <definedName name="REVENUE_10Q" hidden="1">"REVENUE_10Q"</definedName>
    <definedName name="REVENUE_10Q1" hidden="1">"REVENUE_10Q1"</definedName>
    <definedName name="REVENUE_EST" hidden="1">"REVENUE_EST"</definedName>
    <definedName name="REVENUE_EST_1" hidden="1">"REVENUE_EST_1"</definedName>
    <definedName name="REVENUE_GROWTH_1" hidden="1">"REVENUE_GROWTH_1"</definedName>
    <definedName name="REVENUE_GROWTH_2" hidden="1">"REVENUE_GROWTH_2"</definedName>
    <definedName name="SGA" hidden="1">"SGA"</definedName>
    <definedName name="SHARESOUTSTANDING" hidden="1">"SHARESOUTSTANDING"</definedName>
    <definedName name="SHORT_TERM_INVEST" hidden="1">"SHORT_TERM_INVEST"</definedName>
    <definedName name="STATE" hidden="1">"STATE"</definedName>
    <definedName name="STOCK_BASED" hidden="1">"STOCK_BASED"</definedName>
    <definedName name="TOTAL_ASSETS" hidden="1">"TOTAL_ASSETS"</definedName>
    <definedName name="TOTAL_CASH_DIVID" hidden="1">"TOTAL_CASH_DIVID"</definedName>
    <definedName name="TOTAL_CASH_FINAN" hidden="1">"TOTAL_CASH_FINAN"</definedName>
    <definedName name="TOTAL_CASH_INVEST" hidden="1">"TOTAL_CASH_INVEST"</definedName>
    <definedName name="TOTAL_CASH_OPER" hidden="1">"TOTAL_CASH_OPER"</definedName>
    <definedName name="TOTAL_COMMON" hidden="1">"TOTAL_COMMON"</definedName>
    <definedName name="TOTAL_CURRENT_ASSETS" hidden="1">"TOTAL_CURRENT_ASSETS"</definedName>
    <definedName name="TOTAL_CURRENT_LIAB" hidden="1">"TOTAL_CURRENT_LIAB"</definedName>
    <definedName name="TOTAL_DEBT" hidden="1">"TOTAL_DEBT"</definedName>
    <definedName name="TOTAL_DEBT_OVER_EBITDA" hidden="1">"TOTAL_DEBT_OVER_EBITDA"</definedName>
    <definedName name="TOTAL_DEBT_OVER_TOTAL_BV" hidden="1">"TOTAL_DEBT_OVER_TOTAL_BV"</definedName>
    <definedName name="TOTAL_DEBT_OVER_TOTAL_CAP" hidden="1">"TOTAL_DEBT_OVER_TOTAL_CAP"</definedName>
    <definedName name="TOTAL_EQUITY" hidden="1">"TOTAL_EQUITY"</definedName>
    <definedName name="TOTAL_INTEREST_EXP" hidden="1">"TOTAL_INTEREST_EXP"</definedName>
    <definedName name="TOTAL_INVENTORY" hidden="1">"TOTAL_INVENTORY"</definedName>
    <definedName name="TOTAL_LIAB" hidden="1">"TOTAL_LIAB"</definedName>
    <definedName name="TOTAL_LIAB_SHAREHOLD" hidden="1">"TOTAL_LIAB_SHAREHOLD"</definedName>
    <definedName name="TOTAL_LONG_DEBT" hidden="1">"TOTAL_LONG_DEBT"</definedName>
    <definedName name="TOTAL_OPER_EXPEN" hidden="1">"TOTAL_OPER_EXPEN"</definedName>
    <definedName name="TOTAL_RECEIV" hidden="1">"TOTAL_RECEIV"</definedName>
    <definedName name="TOTAL_REVENUE" hidden="1">"TOTAL_REVENUE"</definedName>
    <definedName name="TOTAL_SPECIAL" hidden="1">"TOTAL_SPECIAL"</definedName>
    <definedName name="TRADE_AR" hidden="1">"TRADE_AR"</definedName>
    <definedName name="TREASURY_STOCK" hidden="1">"TREASURY_STOCK"</definedName>
    <definedName name="UNREALIZED_GAIN" hidden="1">"UNREALIZED_GAIN"</definedName>
    <definedName name="UNUSUAL_EXP" hidden="1">"UNUSUAL_EXP"</definedName>
    <definedName name="US_GAAP" hidden="1">"US_GAAP"</definedName>
    <definedName name="VOLUME" hidden="1">"VOLUME"</definedName>
    <definedName name="wrn.2qtrly." hidden="1">{#N/A,#N/A,TRUE,"Balance Sheet";#N/A,#N/A,TRUE,"Income Statement";#N/A,#N/A,TRUE,"Cash Flow";#N/A,#N/A,TRUE,"Port of Inv";#N/A,#N/A,TRUE,"Partners Capital";#N/A,#N/A,TRUE,"Val Sum";#N/A,#N/A,TRUE,"real-unreal";#N/A,#N/A,TRUE,"Pub Mkt Val"}</definedName>
    <definedName name="wrn.Financials." hidden="1">{#N/A,#N/A,TRUE,"Balance Sheet";#N/A,#N/A,TRUE,"Income Statement";#N/A,#N/A,TRUE,"Cash Flow";#N/A,#N/A,TRUE,"Port of Inv";#N/A,#N/A,TRUE,"Partners Capital";#N/A,#N/A,TRUE,"Val Summ";#N/A,#N/A,TRUE,"Inv. Act.";#N/A,#N/A,TRUE,"Securities";#N/A,#N/A,TRUE,"Real.-Unreal.";#N/A,#N/A,TRUE,"Check List"}</definedName>
    <definedName name="XRefCopy1" hidden="1">#REF!</definedName>
    <definedName name="XRefCopyRangeCount" hidden="1">1</definedName>
    <definedName name="YEARHIGH" hidden="1">"YEARHIGH"</definedName>
    <definedName name="YEARLOW" hidden="1">"YEARLOW"</definedName>
  </definedNames>
  <calcPr calcId="191029" calcMode="autoNoTable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7" i="9" l="1" a="1"/>
  <c r="Q27" i="9" s="1"/>
  <c r="U27" i="9" s="1" a="1"/>
  <c r="U27" i="9" s="1"/>
  <c r="V22" i="9" a="1"/>
  <c r="V22" i="9" s="1"/>
  <c r="V21" i="9" a="1"/>
  <c r="V21" i="9" s="1"/>
  <c r="V20" i="9" a="1"/>
  <c r="V20" i="9" s="1"/>
  <c r="V19" i="9" a="1"/>
  <c r="V19" i="9" s="1"/>
  <c r="V18" i="9" a="1"/>
  <c r="V18" i="9" s="1"/>
  <c r="T21" i="9"/>
  <c r="R22" i="9"/>
  <c r="Q22" i="9"/>
  <c r="Q21" i="9"/>
  <c r="X21" i="9" s="1"/>
  <c r="R21" i="9"/>
  <c r="R20" i="9"/>
  <c r="Q20" i="9"/>
  <c r="T20" i="9" s="1"/>
  <c r="R19" i="9"/>
  <c r="Q19" i="9"/>
  <c r="T19" i="9" s="1"/>
  <c r="R18" i="9"/>
  <c r="Q18" i="9"/>
  <c r="X18" i="9" s="1"/>
  <c r="S27" i="9" l="1"/>
  <c r="R28" i="9"/>
  <c r="S18" i="9"/>
  <c r="S28" i="9"/>
  <c r="T28" i="9" s="1"/>
  <c r="S19" i="9"/>
  <c r="U19" i="9" s="1"/>
  <c r="X19" i="9"/>
  <c r="U28" i="9" a="1"/>
  <c r="U28" i="9" s="1"/>
  <c r="S21" i="9"/>
  <c r="U21" i="9" s="1"/>
  <c r="T18" i="9"/>
  <c r="U18" i="9" s="1"/>
  <c r="X20" i="9"/>
  <c r="R27" i="9"/>
  <c r="R29" i="9" s="1"/>
  <c r="S20" i="9"/>
  <c r="U20" i="9" s="1"/>
  <c r="S29" i="9" l="1"/>
  <c r="T22" i="9"/>
  <c r="S22" i="9"/>
  <c r="U22" i="9" s="1"/>
  <c r="Q10" i="9" a="1"/>
  <c r="S12" i="9" s="1"/>
  <c r="C53" i="9"/>
  <c r="C42" i="9"/>
  <c r="C34" i="9"/>
  <c r="R11" i="9" l="1"/>
  <c r="Q10" i="9"/>
  <c r="U12" i="9" a="1"/>
  <c r="U12" i="9" s="1"/>
  <c r="U11" i="9" a="1"/>
  <c r="U11" i="9" s="1"/>
  <c r="R12" i="9"/>
  <c r="T12" i="9" s="1"/>
  <c r="S11" i="9"/>
  <c r="T27" i="9"/>
  <c r="B3" i="9"/>
  <c r="B14" i="9"/>
  <c r="U10" i="9" l="1" a="1"/>
  <c r="U10" i="9" s="1"/>
  <c r="S10" i="9"/>
  <c r="R10" i="9"/>
  <c r="R13" i="9" s="1"/>
  <c r="U13" i="9" s="1"/>
  <c r="T11" i="9"/>
  <c r="C27" i="9" a="1"/>
  <c r="C27" i="9" s="1"/>
  <c r="S13" i="9" l="1"/>
  <c r="T13" i="9" s="1"/>
  <c r="T10" i="9"/>
  <c r="I27" i="9"/>
  <c r="H27" i="9"/>
  <c r="G27" i="9"/>
  <c r="F27" i="9"/>
  <c r="D27" i="9"/>
  <c r="E27" i="9"/>
  <c r="I28" i="9" l="1"/>
  <c r="H28" i="9"/>
  <c r="G28" i="9"/>
  <c r="C71" i="9" l="1" a="1"/>
  <c r="L54" i="9"/>
  <c r="K54" i="9"/>
  <c r="J54" i="9"/>
  <c r="I54" i="9"/>
  <c r="H54" i="9"/>
  <c r="G54" i="9"/>
  <c r="F54" i="9"/>
  <c r="E54" i="9"/>
  <c r="D54" i="9"/>
  <c r="C54" i="9"/>
  <c r="C55" i="9" a="1"/>
  <c r="C36" i="9" a="1"/>
  <c r="C20" i="9" a="1"/>
  <c r="C20" i="9" l="1"/>
  <c r="F20" i="9" s="1"/>
  <c r="I22" i="9"/>
  <c r="H22" i="9"/>
  <c r="G22" i="9"/>
  <c r="F22" i="9"/>
  <c r="E22" i="9"/>
  <c r="D22" i="9"/>
  <c r="I21" i="9"/>
  <c r="H21" i="9"/>
  <c r="G21" i="9"/>
  <c r="F21" i="9"/>
  <c r="E21" i="9"/>
  <c r="D21" i="9"/>
  <c r="C55" i="9"/>
  <c r="I60" i="9"/>
  <c r="H57" i="9"/>
  <c r="E57" i="9"/>
  <c r="D62" i="9"/>
  <c r="D61" i="9"/>
  <c r="H59" i="9"/>
  <c r="D59" i="9"/>
  <c r="F59" i="9"/>
  <c r="E59" i="9"/>
  <c r="I61" i="9"/>
  <c r="I58" i="9"/>
  <c r="E61" i="9"/>
  <c r="F58" i="9"/>
  <c r="H60" i="9"/>
  <c r="F60" i="9"/>
  <c r="G57" i="9"/>
  <c r="F57" i="9"/>
  <c r="I59" i="9"/>
  <c r="D60" i="9"/>
  <c r="G59" i="9"/>
  <c r="G61" i="9"/>
  <c r="H58" i="9"/>
  <c r="E58" i="9"/>
  <c r="G60" i="9"/>
  <c r="I57" i="9"/>
  <c r="E60" i="9"/>
  <c r="I62" i="9"/>
  <c r="H62" i="9"/>
  <c r="G62" i="9"/>
  <c r="F62" i="9"/>
  <c r="E62" i="9"/>
  <c r="D58" i="9"/>
  <c r="D57" i="9"/>
  <c r="H61" i="9"/>
  <c r="F61" i="9"/>
  <c r="G58" i="9"/>
  <c r="C36" i="9"/>
  <c r="C71" i="9"/>
  <c r="H56" i="9"/>
  <c r="G56" i="9"/>
  <c r="F56" i="9"/>
  <c r="E56" i="9"/>
  <c r="I56" i="9"/>
  <c r="D56" i="9"/>
  <c r="H20" i="9" l="1"/>
  <c r="H23" i="9" s="1"/>
  <c r="H30" i="9" s="1"/>
  <c r="D20" i="9"/>
  <c r="E20" i="9"/>
  <c r="D71" i="9" s="1"/>
  <c r="Q71" i="9" s="1"/>
  <c r="I20" i="9"/>
  <c r="I23" i="9" s="1"/>
  <c r="I30" i="9" s="1"/>
  <c r="G20" i="9"/>
  <c r="H55" i="9"/>
  <c r="H63" i="9" s="1"/>
  <c r="H65" i="9" s="1"/>
  <c r="I55" i="9"/>
  <c r="I63" i="9" s="1"/>
  <c r="I65" i="9" s="1"/>
  <c r="D55" i="9"/>
  <c r="G55" i="9"/>
  <c r="F55" i="9"/>
  <c r="E55" i="9"/>
  <c r="D73" i="9" s="1"/>
  <c r="G23" i="9" l="1"/>
  <c r="G30" i="9" s="1"/>
  <c r="Q73" i="9"/>
  <c r="G63" i="9"/>
  <c r="G65" i="9" l="1"/>
  <c r="F71" i="9"/>
  <c r="E71" i="9" s="1"/>
  <c r="J71" i="9" s="1"/>
  <c r="F73" i="9" l="1"/>
  <c r="E73" i="9" l="1"/>
  <c r="J73" i="9" s="1"/>
  <c r="C43" i="9" l="1" a="1"/>
  <c r="L35" i="9"/>
  <c r="K35" i="9"/>
  <c r="J35" i="9"/>
  <c r="I35" i="9"/>
  <c r="H35" i="9"/>
  <c r="G35" i="9"/>
  <c r="F35" i="9"/>
  <c r="E35" i="9"/>
  <c r="D35" i="9"/>
  <c r="C35" i="9"/>
  <c r="L46" i="9" l="1"/>
  <c r="H44" i="9"/>
  <c r="K46" i="9"/>
  <c r="G44" i="9"/>
  <c r="J46" i="9"/>
  <c r="F44" i="9"/>
  <c r="E44" i="9"/>
  <c r="H46" i="9"/>
  <c r="D44" i="9"/>
  <c r="G46" i="9"/>
  <c r="F46" i="9"/>
  <c r="E46" i="9"/>
  <c r="D46" i="9"/>
  <c r="L45" i="9"/>
  <c r="K45" i="9"/>
  <c r="J45" i="9"/>
  <c r="H45" i="9"/>
  <c r="G45" i="9"/>
  <c r="F45" i="9"/>
  <c r="D45" i="9"/>
  <c r="I45" i="9"/>
  <c r="K44" i="9"/>
  <c r="I46" i="9"/>
  <c r="E45" i="9"/>
  <c r="L44" i="9"/>
  <c r="J44" i="9"/>
  <c r="I44" i="9"/>
  <c r="D36" i="9"/>
  <c r="D39" i="9"/>
  <c r="D37" i="9"/>
  <c r="D38" i="9"/>
  <c r="E36" i="9"/>
  <c r="E37" i="9"/>
  <c r="E38" i="9"/>
  <c r="E39" i="9"/>
  <c r="F36" i="9"/>
  <c r="F37" i="9"/>
  <c r="F38" i="9"/>
  <c r="F39" i="9"/>
  <c r="G36" i="9"/>
  <c r="G37" i="9"/>
  <c r="G38" i="9"/>
  <c r="G39" i="9"/>
  <c r="H36" i="9"/>
  <c r="H37" i="9"/>
  <c r="H38" i="9"/>
  <c r="H39" i="9"/>
  <c r="I36" i="9"/>
  <c r="I37" i="9"/>
  <c r="I38" i="9"/>
  <c r="I39" i="9"/>
  <c r="C43" i="9"/>
  <c r="N13" i="11"/>
  <c r="N15" i="11"/>
  <c r="N27" i="11"/>
  <c r="J62" i="9" s="1"/>
  <c r="N19" i="11"/>
  <c r="N18" i="11"/>
  <c r="J39" i="9" s="1"/>
  <c r="N9" i="11"/>
  <c r="J21" i="9" s="1"/>
  <c r="N16" i="11"/>
  <c r="N25" i="11"/>
  <c r="J60" i="9" s="1"/>
  <c r="N24" i="11"/>
  <c r="J59" i="9" s="1"/>
  <c r="N23" i="11"/>
  <c r="J58" i="9" s="1"/>
  <c r="N22" i="11"/>
  <c r="J57" i="9" s="1"/>
  <c r="N21" i="11"/>
  <c r="J56" i="9" s="1"/>
  <c r="N20" i="11"/>
  <c r="J55" i="9" s="1"/>
  <c r="N17" i="11"/>
  <c r="J38" i="9" s="1"/>
  <c r="N14" i="11"/>
  <c r="N12" i="11"/>
  <c r="N11" i="11"/>
  <c r="N10" i="11"/>
  <c r="J22" i="9" s="1"/>
  <c r="N8" i="11"/>
  <c r="N26" i="11"/>
  <c r="J61" i="9" s="1"/>
  <c r="J37" i="9" l="1"/>
  <c r="J27" i="9"/>
  <c r="J28" i="9" s="1"/>
  <c r="K28" i="9" s="1"/>
  <c r="H40" i="9"/>
  <c r="G40" i="9"/>
  <c r="I40" i="9"/>
  <c r="J36" i="9"/>
  <c r="J63" i="9"/>
  <c r="J65" i="9" s="1"/>
  <c r="J20" i="9"/>
  <c r="J23" i="9" s="1"/>
  <c r="D43" i="9"/>
  <c r="J43" i="9"/>
  <c r="I43" i="9"/>
  <c r="I47" i="9" s="1"/>
  <c r="H43" i="9"/>
  <c r="H47" i="9" s="1"/>
  <c r="G43" i="9"/>
  <c r="F43" i="9"/>
  <c r="E43" i="9"/>
  <c r="D72" i="9" s="1"/>
  <c r="Q72" i="9" s="1"/>
  <c r="O11" i="11"/>
  <c r="O24" i="11"/>
  <c r="O25" i="11"/>
  <c r="O27" i="11"/>
  <c r="O23" i="11"/>
  <c r="O17" i="11"/>
  <c r="O22" i="11"/>
  <c r="O9" i="11"/>
  <c r="K21" i="9" s="1"/>
  <c r="O10" i="11"/>
  <c r="K22" i="9" s="1"/>
  <c r="O18" i="11"/>
  <c r="O20" i="11"/>
  <c r="P20" i="11" s="1"/>
  <c r="L55" i="9" s="1"/>
  <c r="O19" i="11"/>
  <c r="O26" i="11"/>
  <c r="O12" i="11"/>
  <c r="P12" i="11" s="1"/>
  <c r="O15" i="11"/>
  <c r="P15" i="11" s="1"/>
  <c r="O14" i="11"/>
  <c r="P14" i="11" s="1"/>
  <c r="O16" i="11"/>
  <c r="O8" i="11"/>
  <c r="P8" i="11" s="1"/>
  <c r="L20" i="9" s="1"/>
  <c r="O21" i="11"/>
  <c r="P21" i="11" s="1"/>
  <c r="L56" i="9" s="1"/>
  <c r="O13" i="11"/>
  <c r="P13" i="11" s="1"/>
  <c r="K39" i="9" l="1"/>
  <c r="K36" i="9"/>
  <c r="P26" i="11"/>
  <c r="L61" i="9" s="1"/>
  <c r="K61" i="9"/>
  <c r="P22" i="11"/>
  <c r="L57" i="9" s="1"/>
  <c r="L63" i="9" s="1"/>
  <c r="K57" i="9"/>
  <c r="P27" i="11"/>
  <c r="L62" i="9" s="1"/>
  <c r="K62" i="9"/>
  <c r="P25" i="11"/>
  <c r="L60" i="9" s="1"/>
  <c r="K60" i="9"/>
  <c r="K55" i="9"/>
  <c r="P24" i="11"/>
  <c r="L59" i="9" s="1"/>
  <c r="K59" i="9"/>
  <c r="P23" i="11"/>
  <c r="L58" i="9" s="1"/>
  <c r="K58" i="9"/>
  <c r="K56" i="9"/>
  <c r="P17" i="11"/>
  <c r="L38" i="9" s="1"/>
  <c r="K38" i="9"/>
  <c r="P16" i="11"/>
  <c r="L43" i="9" s="1"/>
  <c r="K37" i="9"/>
  <c r="H49" i="9"/>
  <c r="J40" i="9"/>
  <c r="K40" i="9" s="1"/>
  <c r="I49" i="9"/>
  <c r="P11" i="11"/>
  <c r="P19" i="11"/>
  <c r="P18" i="11"/>
  <c r="P10" i="11"/>
  <c r="L22" i="9" s="1"/>
  <c r="P9" i="11"/>
  <c r="L21" i="9" s="1"/>
  <c r="L23" i="9" s="1"/>
  <c r="K27" i="9"/>
  <c r="K20" i="9"/>
  <c r="K43" i="9"/>
  <c r="J47" i="9"/>
  <c r="J30" i="9"/>
  <c r="K63" i="9"/>
  <c r="G47" i="9"/>
  <c r="G49" i="9" s="1"/>
  <c r="L39" i="9" l="1"/>
  <c r="L37" i="9"/>
  <c r="L36" i="9"/>
  <c r="L65" i="9"/>
  <c r="L73" i="9" s="1"/>
  <c r="L27" i="9"/>
  <c r="J49" i="9"/>
  <c r="G72" i="9" s="1"/>
  <c r="G73" i="9"/>
  <c r="K65" i="9"/>
  <c r="K23" i="9"/>
  <c r="F72" i="9"/>
  <c r="E72" i="9" s="1"/>
  <c r="J72" i="9" s="1"/>
  <c r="K47" i="9"/>
  <c r="L47" i="9"/>
  <c r="L49" i="9" l="1"/>
  <c r="L72" i="9" s="1"/>
  <c r="I72" i="9" s="1"/>
  <c r="M72" i="9" s="1"/>
  <c r="L30" i="9"/>
  <c r="L71" i="9" s="1"/>
  <c r="L40" i="9"/>
  <c r="I73" i="9"/>
  <c r="N73" i="9" s="1"/>
  <c r="L28" i="9"/>
  <c r="K49" i="9"/>
  <c r="K30" i="9"/>
  <c r="G71" i="9"/>
  <c r="K73" i="9"/>
  <c r="K72" i="9"/>
  <c r="I71" i="9" l="1"/>
  <c r="N71" i="9" s="1"/>
  <c r="N72" i="9"/>
  <c r="K71" i="9"/>
  <c r="M73" i="9"/>
  <c r="M71" i="9" l="1"/>
  <c r="F70" i="2" l="1"/>
  <c r="K28" i="2" l="1"/>
  <c r="K29" i="2"/>
  <c r="K26" i="2"/>
  <c r="F20" i="2"/>
  <c r="F14" i="2"/>
  <c r="K27" i="2" s="1"/>
  <c r="F13" i="2"/>
  <c r="F12" i="2"/>
  <c r="F15" i="2" l="1"/>
  <c r="F17" i="2" s="1"/>
  <c r="K30" i="2"/>
  <c r="F27" i="2"/>
  <c r="F26" i="2"/>
  <c r="F28" i="2"/>
  <c r="F69" i="2" s="1"/>
  <c r="K51" i="2"/>
  <c r="J51" i="2"/>
  <c r="I51" i="2"/>
  <c r="H51" i="2"/>
  <c r="G51" i="2"/>
  <c r="F51" i="2"/>
  <c r="F38" i="2"/>
  <c r="J5" i="2"/>
  <c r="F68" i="2" l="1"/>
  <c r="F29" i="2"/>
  <c r="F30" i="2" l="1"/>
  <c r="K32" i="2" s="1"/>
  <c r="U29" i="9" l="1"/>
  <c r="T29" i="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<sst xmlns="http://schemas.openxmlformats.org/spreadsheetml/2006/main" count="311" uniqueCount="184">
  <si>
    <t>Year 0</t>
  </si>
  <si>
    <t>Year 1</t>
  </si>
  <si>
    <t>Year 2</t>
  </si>
  <si>
    <t>Year 3</t>
  </si>
  <si>
    <t>Year 4</t>
  </si>
  <si>
    <t>Year 5</t>
  </si>
  <si>
    <t>Net Income:</t>
  </si>
  <si>
    <t>Debt Balance:</t>
  </si>
  <si>
    <t>EBITDA Exit Multiple:</t>
  </si>
  <si>
    <t>Equity Proceeds:</t>
  </si>
  <si>
    <t>EBITDA:</t>
  </si>
  <si>
    <t>Tax Rate:</t>
  </si>
  <si>
    <t>($ in Millions)</t>
  </si>
  <si>
    <t>Income Statement:</t>
  </si>
  <si>
    <t>Revenue:</t>
  </si>
  <si>
    <t>Interest Rate:</t>
  </si>
  <si>
    <t>Pre-Tax Income:</t>
  </si>
  <si>
    <t>EBITDA Purchase Multiple:</t>
  </si>
  <si>
    <t>Exit Enterprise Value:</t>
  </si>
  <si>
    <t>Cash Balance:</t>
  </si>
  <si>
    <t>Cash Flow Used for Debt Repayment:</t>
  </si>
  <si>
    <t>Money-on-Money (MoM) Multiple:</t>
  </si>
  <si>
    <t>Internal Rate of Return  (IRR):</t>
  </si>
  <si>
    <t>EBITDA Growth:</t>
  </si>
  <si>
    <t>Multiple Expansion:</t>
  </si>
  <si>
    <t>Total Return to Equity Investors:</t>
  </si>
  <si>
    <t>Exit Calculations:</t>
  </si>
  <si>
    <t>Returns Attribution Analysis:</t>
  </si>
  <si>
    <t>Amount:</t>
  </si>
  <si>
    <t>%:</t>
  </si>
  <si>
    <t>Growth Rate:</t>
  </si>
  <si>
    <t>Margin:</t>
  </si>
  <si>
    <t>(-) Depreciation &amp; Amortization:</t>
  </si>
  <si>
    <t>(-) Interest Expense:</t>
  </si>
  <si>
    <t>(-) Taxes:</t>
  </si>
  <si>
    <t>Cash Flow and Debt Repayment:</t>
  </si>
  <si>
    <t>(+) Depreciation &amp; Amortization:</t>
  </si>
  <si>
    <t>(+/-) Change in Working Capital:</t>
  </si>
  <si>
    <t>(-) CapEx:</t>
  </si>
  <si>
    <t>% of Revenue:</t>
  </si>
  <si>
    <t>% of Change in Revenue:</t>
  </si>
  <si>
    <t>(+) Beginning Cash Balance:</t>
  </si>
  <si>
    <t>(+) Free Cash Flow:</t>
  </si>
  <si>
    <t>(-) Minimum Cash Balance:</t>
  </si>
  <si>
    <t>Cash Flow Available for Debt Repayment:</t>
  </si>
  <si>
    <t>Minimum Cash % EBITDA:</t>
  </si>
  <si>
    <t>Debt Paydown/Cash Generation:</t>
  </si>
  <si>
    <t>(-) Debt:</t>
  </si>
  <si>
    <t>(+) Cash:</t>
  </si>
  <si>
    <t>Equity Balance:</t>
  </si>
  <si>
    <t>Invested Capital:</t>
  </si>
  <si>
    <t>NOPAT:</t>
  </si>
  <si>
    <t>Return on Invested Capital (ROIC):</t>
  </si>
  <si>
    <t>Purchase Enterprise Value:</t>
  </si>
  <si>
    <t>Sources &amp; Uses:</t>
  </si>
  <si>
    <t>Uses:</t>
  </si>
  <si>
    <t>Transaction Fees:</t>
  </si>
  <si>
    <t>Financing Fees:</t>
  </si>
  <si>
    <t>Total Uses:</t>
  </si>
  <si>
    <t>CHECK:</t>
  </si>
  <si>
    <t>Sources:</t>
  </si>
  <si>
    <t>Total Sources:</t>
  </si>
  <si>
    <t>Advisory Fee %:</t>
  </si>
  <si>
    <t>%</t>
  </si>
  <si>
    <t>Debt Issuance Fee %:</t>
  </si>
  <si>
    <t>Legal and Other Fees:</t>
  </si>
  <si>
    <t>$ M</t>
  </si>
  <si>
    <t>Transaction Assumptions:</t>
  </si>
  <si>
    <t>Units:</t>
  </si>
  <si>
    <t>x</t>
  </si>
  <si>
    <t>Leverage Ratio:</t>
  </si>
  <si>
    <t>Investor Equity:</t>
  </si>
  <si>
    <t>Purchase Equity Value:</t>
  </si>
  <si>
    <t>Simple LBO Model Example - Public Company</t>
  </si>
  <si>
    <t>Current Share Price:</t>
  </si>
  <si>
    <t>$ as Stated</t>
  </si>
  <si>
    <t>Diluted Share Count:</t>
  </si>
  <si>
    <t>M Shares</t>
  </si>
  <si>
    <t>(-) Cash:</t>
  </si>
  <si>
    <t>(+) Debt:</t>
  </si>
  <si>
    <t>Premium Paid:</t>
  </si>
  <si>
    <t>Equity Purchase Price of Target:</t>
  </si>
  <si>
    <t>Assume/Replace Target's Debt:</t>
  </si>
  <si>
    <t>New Debt Issued:</t>
  </si>
  <si>
    <t>Total Debt Used:</t>
  </si>
  <si>
    <t>Excess Cash on Balance Sheet:</t>
  </si>
  <si>
    <t>Industry</t>
  </si>
  <si>
    <t>Realized</t>
  </si>
  <si>
    <t>Value</t>
  </si>
  <si>
    <t>Unrealized</t>
  </si>
  <si>
    <t>Invested</t>
  </si>
  <si>
    <t>Capital</t>
  </si>
  <si>
    <t>MOIC</t>
  </si>
  <si>
    <t>IRR</t>
  </si>
  <si>
    <t>Gross</t>
  </si>
  <si>
    <t>Status</t>
  </si>
  <si>
    <t>Gross IRR</t>
  </si>
  <si>
    <t>Gross MOIC</t>
  </si>
  <si>
    <t>Total:</t>
  </si>
  <si>
    <t>Net</t>
  </si>
  <si>
    <t xml:space="preserve">Investment Master Spreadsheet with Entry and Exit Data </t>
  </si>
  <si>
    <t>Fund I</t>
  </si>
  <si>
    <t>Fund II</t>
  </si>
  <si>
    <t>Fund III</t>
  </si>
  <si>
    <t>Fund</t>
  </si>
  <si>
    <t>Company Name</t>
  </si>
  <si>
    <t>Business Description</t>
  </si>
  <si>
    <t>Total</t>
  </si>
  <si>
    <t>Vintage</t>
  </si>
  <si>
    <t>Carry</t>
  </si>
  <si>
    <t>($ in Millions USD)</t>
  </si>
  <si>
    <t>Inv. Date</t>
  </si>
  <si>
    <t>Exit Date</t>
  </si>
  <si>
    <t>Inv. Capital</t>
  </si>
  <si>
    <t>Total Value</t>
  </si>
  <si>
    <t>Grand Total:</t>
  </si>
  <si>
    <t>PE Fund Track Record Analysis</t>
  </si>
  <si>
    <t>Fund-Wide Assumptions:</t>
  </si>
  <si>
    <t>(Estimated)</t>
  </si>
  <si>
    <t>Carried Interest %:</t>
  </si>
  <si>
    <t>Avg. Management Fee:</t>
  </si>
  <si>
    <t>Avg. Fund Life:</t>
  </si>
  <si>
    <t># Years</t>
  </si>
  <si>
    <t>Avg. Gross - Net Spread:</t>
  </si>
  <si>
    <t>Fund Comparison &amp; Analysis:</t>
  </si>
  <si>
    <t>GP Track Record:</t>
  </si>
  <si>
    <t>Track Record Data:</t>
  </si>
  <si>
    <t>Company Information:</t>
  </si>
  <si>
    <t>Mgmt Fees</t>
  </si>
  <si>
    <t>Invested Capital</t>
  </si>
  <si>
    <t>Healthcare</t>
  </si>
  <si>
    <t>Consumer</t>
  </si>
  <si>
    <t>Lumina Pharma</t>
  </si>
  <si>
    <t>NexaMed Labs</t>
  </si>
  <si>
    <t xml:space="preserve">HealSpark Therapeutics </t>
  </si>
  <si>
    <t>Zenith Paws</t>
  </si>
  <si>
    <t>Next-generation orthodontic devices</t>
  </si>
  <si>
    <t>Infectious disease treatments</t>
  </si>
  <si>
    <t>Ownership %</t>
  </si>
  <si>
    <t>Business Services</t>
  </si>
  <si>
    <t>IgniteHub</t>
  </si>
  <si>
    <t>Organic cosmetics and skincare</t>
  </si>
  <si>
    <t>Insurance brokerage services</t>
  </si>
  <si>
    <t>E-commerce hosting and design services</t>
  </si>
  <si>
    <t>Crayoler</t>
  </si>
  <si>
    <t>Zenith Pharma</t>
  </si>
  <si>
    <t>Echo Bloom Devices</t>
  </si>
  <si>
    <t>Apex Ledger</t>
  </si>
  <si>
    <t>EvoHealth</t>
  </si>
  <si>
    <t>Quantum Pulse</t>
  </si>
  <si>
    <t>Generics for emerging/frontier markets</t>
  </si>
  <si>
    <t>Healthcare billing and revenue integrity</t>
  </si>
  <si>
    <t>Online recruitment services and HR automation</t>
  </si>
  <si>
    <t>Senior assisted living facilities</t>
  </si>
  <si>
    <t>X-ray imaging and medical devices</t>
  </si>
  <si>
    <t>Biosimilar generics for the Chinese market</t>
  </si>
  <si>
    <t>Consumer electronics and appliances</t>
  </si>
  <si>
    <t>FluxNova Apps</t>
  </si>
  <si>
    <t>Dental implants and regenerative biomaterials</t>
  </si>
  <si>
    <t>PulseSenior Living</t>
  </si>
  <si>
    <t>BioSmile Labs</t>
  </si>
  <si>
    <t>Wallace Liqueur</t>
  </si>
  <si>
    <t>High-end Scotch distillery and related spirits</t>
  </si>
  <si>
    <t>Assisted senior living for special-needs residents</t>
  </si>
  <si>
    <t>Revenue cycle management software and analytics</t>
  </si>
  <si>
    <t>ThriveBio Tech</t>
  </si>
  <si>
    <t>Oncology and autoimmune drugs</t>
  </si>
  <si>
    <t>Alpha Omega Bio</t>
  </si>
  <si>
    <t>FluxEdge Financial</t>
  </si>
  <si>
    <t>Dental instrument supplier and manufacturer</t>
  </si>
  <si>
    <t>SynthoDent Group</t>
  </si>
  <si>
    <t>EchoWealth Partners</t>
  </si>
  <si>
    <t>Employee retirement and 401(k) plans</t>
  </si>
  <si>
    <t>Pet products, supplies, and care</t>
  </si>
  <si>
    <t>Estimated</t>
  </si>
  <si>
    <t>Fund Size</t>
  </si>
  <si>
    <t>Hurdle Rate:</t>
  </si>
  <si>
    <t>Analysis Date:</t>
  </si>
  <si>
    <t>Date</t>
  </si>
  <si>
    <t>Investment Performance by Industry:</t>
  </si>
  <si>
    <t>Investment Performance by Deal Size:</t>
  </si>
  <si>
    <t>Min</t>
  </si>
  <si>
    <t>Max</t>
  </si>
  <si>
    <t>Investment Performance by Realized vs. Unrealized Portfolio Companies: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</si>
</sst>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164" formatCode="0.0\ \x"/>
    <numFmt numFmtId="165" formatCode="_(* #,##0.0_);_(* \(#,##0.0\);_(* &quot;-&quot;?_);_(@_)"/>
    <numFmt numFmtId="166" formatCode="0.0%;\(0.0%\)"/>
    <numFmt numFmtId="167" formatCode="_(* #,##0_);_(* \(#,##0\);_(* &quot;-&quot;?_);_(@_)"/>
    <numFmt numFmtId="168" formatCode="0%;\(0%\)"/>
    <numFmt numFmtId="169" formatCode="&quot;$&quot;#,##0.0_);\(&quot;$&quot;#,##0.0\);&quot;OK!&quot;;&quot;ERROR&quot;"/>
    <numFmt numFmtId="170" formatCode="_(&quot;$&quot;* #,##0_);_(&quot;$&quot;* \(#,##0\);_(&quot;$&quot;* &quot;-&quot;?_);_(@_)"/>
    <numFmt numFmtId="171" formatCode="_(* #,##0.0_);_(* \(#,##0.0\);_(* &quot;-&quot;???_);_(@_)"/>
    <numFmt numFmtId="172" formatCode="_(0.0%_);\(0.0%\);_(* &quot;-&quot;_);_(@_)_%"/>
    <numFmt numFmtId="173" formatCode="&quot;Year&quot;\ 0"/>
    <numFmt numFmtId="174" formatCode="&quot;FY&quot;yy"/>
    <numFmt numFmtId="175" formatCode="m/d/yyyy;@"/>
    <numFmt numFmtId="176" formatCode="yyyy\-mm\-dd;;&quot;-&quot;"/>
    <numFmt numFmtId="177" formatCode="_-* #,##0.00_-;\-* #,##0.00_-;_-* &quot;-&quot;??_-;_-@_-"/>
    <numFmt numFmtId="178" formatCode="0.0%"/>
    <numFmt numFmtId="179" formatCode="0.0\ \x;[Red]\ \(0.0\ \x\)"/>
    <numFmt numFmtId="180" formatCode="_(&quot;$&quot;* #,##0.0_);_(&quot;$&quot;* \(#,##0.0\);_(&quot;$&quot;* &quot;-&quot;?_);_(@_)"/>
  </numFmts>
  <fonts count="24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u/>
      <sz val="12"/>
      <color indexed="9"/>
      <name val="Calibri"/>
      <family val="2"/>
      <scheme val="minor"/>
    </font>
    <font>
      <u/>
      <sz val="12"/>
      <color indexed="9"/>
      <name val="Calibri"/>
      <family val="2"/>
      <scheme val="minor"/>
    </font>
    <font>
      <sz val="12"/>
      <color rgb="FF0000FF"/>
      <name val="Calibri"/>
      <family val="2"/>
      <scheme val="minor"/>
    </font>
    <font>
      <sz val="12"/>
      <color rgb="FF0000FF"/>
      <name val="Calibri"/>
      <family val="2"/>
    </font>
    <font>
      <b/>
      <sz val="14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b/>
      <i/>
      <sz val="12"/>
      <color indexed="9"/>
      <name val="Calibri"/>
      <family val="2"/>
      <scheme val="minor"/>
    </font>
    <font>
      <sz val="12"/>
      <color rgb="FF00B050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name val="Arial"/>
      <family val="2"/>
    </font>
    <font>
      <sz val="10"/>
      <color indexed="16"/>
      <name val="Credit Suisse Type Roman"/>
      <family val="2"/>
    </font>
    <font>
      <b/>
      <u/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1F497D"/>
        <bgColor rgb="FF000000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3" fillId="2" borderId="7" applyNumberFormat="0" applyFont="0" applyAlignment="0" applyProtection="0"/>
    <xf numFmtId="0" fontId="14" fillId="0" borderId="0"/>
    <xf numFmtId="0" fontId="3" fillId="0" borderId="0"/>
    <xf numFmtId="0" fontId="19" fillId="0" borderId="0"/>
    <xf numFmtId="177" fontId="14" fillId="0" borderId="0" applyFont="0" applyFill="0" applyBorder="0" applyAlignment="0" applyProtection="0"/>
    <xf numFmtId="0" fontId="20" fillId="0" borderId="0"/>
    <xf numFmtId="9" fontId="14" fillId="0" borderId="0" applyFont="0" applyFill="0" applyBorder="0" applyAlignment="0" applyProtection="0"/>
    <xf numFmtId="177" fontId="14" fillId="0" borderId="0" applyFont="0" applyFill="0" applyBorder="0" applyAlignment="0" applyProtection="0"/>
  </cellStyleXfs>
  <cellXfs count="169">
    <xf numFmtId="0" fontId="0" fillId="0" borderId="0" xfId="0"/>
    <xf numFmtId="0" fontId="4" fillId="0" borderId="0" xfId="0" applyFont="1"/>
    <xf numFmtId="0" fontId="5" fillId="0" borderId="0" xfId="0" applyFont="1"/>
    <xf numFmtId="0" fontId="6" fillId="5" borderId="5" xfId="0" applyFont="1" applyFill="1" applyBorder="1" applyAlignment="1">
      <alignment horizontal="left"/>
    </xf>
    <xf numFmtId="0" fontId="7" fillId="5" borderId="5" xfId="0" applyFont="1" applyFill="1" applyBorder="1" applyAlignment="1">
      <alignment horizontal="left"/>
    </xf>
    <xf numFmtId="0" fontId="8" fillId="5" borderId="5" xfId="0" applyFont="1" applyFill="1" applyBorder="1" applyAlignment="1">
      <alignment horizontal="left"/>
    </xf>
    <xf numFmtId="164" fontId="9" fillId="4" borderId="7" xfId="0" applyNumberFormat="1" applyFont="1" applyFill="1" applyBorder="1" applyAlignment="1">
      <alignment horizontal="center"/>
    </xf>
    <xf numFmtId="42" fontId="5" fillId="0" borderId="0" xfId="0" applyNumberFormat="1" applyFont="1"/>
    <xf numFmtId="166" fontId="10" fillId="4" borderId="7" xfId="1" applyNumberFormat="1" applyFont="1" applyFill="1" applyAlignment="1">
      <alignment horizontal="center"/>
    </xf>
    <xf numFmtId="41" fontId="5" fillId="0" borderId="0" xfId="0" applyNumberFormat="1" applyFont="1"/>
    <xf numFmtId="0" fontId="4" fillId="3" borderId="5" xfId="0" applyFont="1" applyFill="1" applyBorder="1"/>
    <xf numFmtId="0" fontId="5" fillId="3" borderId="5" xfId="0" applyFont="1" applyFill="1" applyBorder="1"/>
    <xf numFmtId="0" fontId="4" fillId="3" borderId="5" xfId="0" applyFont="1" applyFill="1" applyBorder="1" applyAlignment="1">
      <alignment horizontal="center"/>
    </xf>
    <xf numFmtId="42" fontId="5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65" fontId="5" fillId="0" borderId="0" xfId="0" applyNumberFormat="1" applyFont="1"/>
    <xf numFmtId="0" fontId="5" fillId="0" borderId="0" xfId="0" applyFont="1" applyAlignment="1">
      <alignment horizontal="left" indent="1"/>
    </xf>
    <xf numFmtId="0" fontId="5" fillId="0" borderId="5" xfId="0" applyFont="1" applyBorder="1" applyAlignment="1">
      <alignment horizontal="left" indent="1"/>
    </xf>
    <xf numFmtId="0" fontId="5" fillId="0" borderId="5" xfId="0" applyFont="1" applyBorder="1"/>
    <xf numFmtId="41" fontId="5" fillId="0" borderId="5" xfId="0" applyNumberFormat="1" applyFont="1" applyBorder="1"/>
    <xf numFmtId="42" fontId="4" fillId="0" borderId="0" xfId="0" applyNumberFormat="1" applyFont="1"/>
    <xf numFmtId="0" fontId="4" fillId="0" borderId="2" xfId="0" applyFont="1" applyBorder="1"/>
    <xf numFmtId="0" fontId="5" fillId="0" borderId="2" xfId="0" applyFont="1" applyBorder="1"/>
    <xf numFmtId="42" fontId="4" fillId="0" borderId="2" xfId="0" applyNumberFormat="1" applyFont="1" applyBorder="1"/>
    <xf numFmtId="0" fontId="11" fillId="0" borderId="0" xfId="0" applyFont="1"/>
    <xf numFmtId="0" fontId="12" fillId="0" borderId="0" xfId="0" applyFont="1" applyAlignment="1">
      <alignment horizontal="left" indent="1"/>
    </xf>
    <xf numFmtId="9" fontId="12" fillId="0" borderId="0" xfId="0" applyNumberFormat="1" applyFont="1"/>
    <xf numFmtId="42" fontId="9" fillId="0" borderId="0" xfId="0" applyNumberFormat="1" applyFont="1" applyAlignment="1">
      <alignment horizontal="center"/>
    </xf>
    <xf numFmtId="167" fontId="4" fillId="0" borderId="2" xfId="0" applyNumberFormat="1" applyFont="1" applyBorder="1"/>
    <xf numFmtId="0" fontId="5" fillId="0" borderId="0" xfId="0" applyFont="1" applyAlignment="1">
      <alignment horizontal="left"/>
    </xf>
    <xf numFmtId="168" fontId="12" fillId="0" borderId="0" xfId="0" applyNumberFormat="1" applyFont="1"/>
    <xf numFmtId="168" fontId="10" fillId="4" borderId="7" xfId="1" applyNumberFormat="1" applyFont="1" applyFill="1" applyAlignment="1">
      <alignment horizontal="center"/>
    </xf>
    <xf numFmtId="0" fontId="4" fillId="6" borderId="1" xfId="0" applyFont="1" applyFill="1" applyBorder="1"/>
    <xf numFmtId="0" fontId="5" fillId="6" borderId="2" xfId="0" applyFont="1" applyFill="1" applyBorder="1"/>
    <xf numFmtId="0" fontId="4" fillId="6" borderId="4" xfId="0" applyFont="1" applyFill="1" applyBorder="1"/>
    <xf numFmtId="0" fontId="5" fillId="6" borderId="5" xfId="0" applyFont="1" applyFill="1" applyBorder="1"/>
    <xf numFmtId="0" fontId="2" fillId="0" borderId="0" xfId="0" applyFont="1"/>
    <xf numFmtId="0" fontId="4" fillId="3" borderId="5" xfId="0" applyFont="1" applyFill="1" applyBorder="1" applyAlignment="1">
      <alignment horizontal="centerContinuous"/>
    </xf>
    <xf numFmtId="0" fontId="2" fillId="3" borderId="5" xfId="0" applyFont="1" applyFill="1" applyBorder="1" applyAlignment="1">
      <alignment horizontal="centerContinuous"/>
    </xf>
    <xf numFmtId="0" fontId="2" fillId="0" borderId="0" xfId="0" applyFont="1" applyAlignment="1">
      <alignment horizontal="left" indent="1"/>
    </xf>
    <xf numFmtId="0" fontId="4" fillId="0" borderId="2" xfId="0" applyFont="1" applyBorder="1" applyAlignment="1">
      <alignment horizontal="left"/>
    </xf>
    <xf numFmtId="0" fontId="2" fillId="0" borderId="2" xfId="0" applyFont="1" applyBorder="1"/>
    <xf numFmtId="169" fontId="4" fillId="0" borderId="0" xfId="0" applyNumberFormat="1" applyFont="1" applyAlignment="1">
      <alignment horizontal="center"/>
    </xf>
    <xf numFmtId="0" fontId="2" fillId="0" borderId="5" xfId="0" applyFont="1" applyBorder="1"/>
    <xf numFmtId="0" fontId="12" fillId="0" borderId="0" xfId="0" applyFont="1" applyAlignment="1">
      <alignment horizontal="center"/>
    </xf>
    <xf numFmtId="0" fontId="6" fillId="5" borderId="5" xfId="0" applyFont="1" applyFill="1" applyBorder="1" applyAlignment="1">
      <alignment horizontal="center"/>
    </xf>
    <xf numFmtId="0" fontId="15" fillId="5" borderId="5" xfId="0" applyFont="1" applyFill="1" applyBorder="1" applyAlignment="1">
      <alignment horizontal="center"/>
    </xf>
    <xf numFmtId="166" fontId="10" fillId="0" borderId="0" xfId="1" applyNumberFormat="1" applyFont="1" applyFill="1" applyBorder="1" applyAlignment="1">
      <alignment horizontal="center"/>
    </xf>
    <xf numFmtId="164" fontId="13" fillId="0" borderId="0" xfId="0" applyNumberFormat="1" applyFont="1" applyAlignment="1">
      <alignment horizontal="center"/>
    </xf>
    <xf numFmtId="0" fontId="8" fillId="0" borderId="0" xfId="0" applyFont="1" applyAlignment="1">
      <alignment horizontal="left"/>
    </xf>
    <xf numFmtId="170" fontId="2" fillId="0" borderId="0" xfId="0" applyNumberFormat="1" applyFont="1"/>
    <xf numFmtId="167" fontId="13" fillId="0" borderId="0" xfId="2" applyNumberFormat="1" applyFont="1"/>
    <xf numFmtId="170" fontId="4" fillId="0" borderId="2" xfId="0" applyNumberFormat="1" applyFont="1" applyBorder="1"/>
    <xf numFmtId="164" fontId="4" fillId="6" borderId="3" xfId="0" applyNumberFormat="1" applyFont="1" applyFill="1" applyBorder="1" applyAlignment="1">
      <alignment horizontal="center"/>
    </xf>
    <xf numFmtId="168" fontId="4" fillId="6" borderId="6" xfId="0" applyNumberFormat="1" applyFont="1" applyFill="1" applyBorder="1" applyAlignment="1">
      <alignment horizontal="center"/>
    </xf>
    <xf numFmtId="170" fontId="10" fillId="4" borderId="7" xfId="1" applyNumberFormat="1" applyFont="1" applyFill="1" applyAlignment="1"/>
    <xf numFmtId="168" fontId="5" fillId="0" borderId="0" xfId="0" applyNumberFormat="1" applyFont="1" applyAlignment="1">
      <alignment horizontal="center"/>
    </xf>
    <xf numFmtId="168" fontId="5" fillId="0" borderId="5" xfId="0" applyNumberFormat="1" applyFont="1" applyBorder="1" applyAlignment="1">
      <alignment horizontal="center"/>
    </xf>
    <xf numFmtId="9" fontId="4" fillId="0" borderId="0" xfId="0" applyNumberFormat="1" applyFont="1" applyAlignment="1">
      <alignment horizontal="center"/>
    </xf>
    <xf numFmtId="0" fontId="12" fillId="0" borderId="5" xfId="0" applyFont="1" applyBorder="1" applyAlignment="1">
      <alignment horizontal="center"/>
    </xf>
    <xf numFmtId="44" fontId="10" fillId="4" borderId="7" xfId="1" applyNumberFormat="1" applyFont="1" applyFill="1" applyAlignment="1"/>
    <xf numFmtId="171" fontId="9" fillId="4" borderId="7" xfId="0" applyNumberFormat="1" applyFont="1" applyFill="1" applyBorder="1"/>
    <xf numFmtId="41" fontId="4" fillId="0" borderId="0" xfId="0" applyNumberFormat="1" applyFont="1"/>
    <xf numFmtId="41" fontId="16" fillId="0" borderId="0" xfId="1" applyNumberFormat="1" applyFont="1" applyFill="1" applyBorder="1"/>
    <xf numFmtId="41" fontId="16" fillId="0" borderId="5" xfId="1" applyNumberFormat="1" applyFont="1" applyFill="1" applyBorder="1"/>
    <xf numFmtId="0" fontId="1" fillId="0" borderId="0" xfId="0" applyFont="1"/>
    <xf numFmtId="0" fontId="1" fillId="0" borderId="0" xfId="0" applyFont="1" applyAlignment="1">
      <alignment horizontal="centerContinuous"/>
    </xf>
    <xf numFmtId="0" fontId="6" fillId="5" borderId="0" xfId="0" applyFont="1" applyFill="1" applyAlignment="1">
      <alignment horizont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173" fontId="6" fillId="0" borderId="0" xfId="0" applyNumberFormat="1" applyFont="1" applyAlignment="1">
      <alignment horizontal="center"/>
    </xf>
    <xf numFmtId="37" fontId="9" fillId="4" borderId="7" xfId="0" applyNumberFormat="1" applyFont="1" applyFill="1" applyBorder="1" applyAlignment="1">
      <alignment horizontal="center"/>
    </xf>
    <xf numFmtId="174" fontId="6" fillId="5" borderId="5" xfId="0" applyNumberFormat="1" applyFont="1" applyFill="1" applyBorder="1" applyAlignment="1">
      <alignment horizontal="center"/>
    </xf>
    <xf numFmtId="165" fontId="17" fillId="0" borderId="0" xfId="0" applyNumberFormat="1" applyFont="1" applyAlignment="1">
      <alignment horizontal="right"/>
    </xf>
    <xf numFmtId="165" fontId="18" fillId="0" borderId="0" xfId="0" applyNumberFormat="1" applyFont="1" applyAlignment="1">
      <alignment horizontal="right"/>
    </xf>
    <xf numFmtId="42" fontId="18" fillId="0" borderId="0" xfId="0" applyNumberFormat="1" applyFont="1" applyAlignment="1">
      <alignment horizontal="center"/>
    </xf>
    <xf numFmtId="172" fontId="18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165" fontId="1" fillId="0" borderId="0" xfId="0" applyNumberFormat="1" applyFont="1"/>
    <xf numFmtId="174" fontId="6" fillId="0" borderId="0" xfId="0" applyNumberFormat="1" applyFont="1" applyAlignment="1">
      <alignment horizontal="center"/>
    </xf>
    <xf numFmtId="165" fontId="9" fillId="0" borderId="0" xfId="0" applyNumberFormat="1" applyFont="1" applyAlignment="1">
      <alignment horizontal="right"/>
    </xf>
    <xf numFmtId="0" fontId="13" fillId="0" borderId="0" xfId="0" applyFont="1"/>
    <xf numFmtId="0" fontId="13" fillId="0" borderId="0" xfId="4" applyFont="1"/>
    <xf numFmtId="0" fontId="22" fillId="8" borderId="0" xfId="4" applyFont="1" applyFill="1" applyAlignment="1">
      <alignment horizontal="centerContinuous"/>
    </xf>
    <xf numFmtId="0" fontId="17" fillId="7" borderId="0" xfId="4" applyFont="1" applyFill="1" applyAlignment="1">
      <alignment horizontal="center" wrapText="1"/>
    </xf>
    <xf numFmtId="0" fontId="13" fillId="0" borderId="0" xfId="0" applyFont="1" applyAlignment="1">
      <alignment horizontal="left"/>
    </xf>
    <xf numFmtId="42" fontId="13" fillId="0" borderId="0" xfId="0" applyNumberFormat="1" applyFont="1" applyAlignment="1">
      <alignment horizontal="center"/>
    </xf>
    <xf numFmtId="165" fontId="13" fillId="0" borderId="0" xfId="0" applyNumberFormat="1" applyFont="1" applyAlignment="1">
      <alignment horizontal="right"/>
    </xf>
    <xf numFmtId="172" fontId="13" fillId="0" borderId="0" xfId="0" applyNumberFormat="1" applyFont="1" applyAlignment="1">
      <alignment horizontal="right"/>
    </xf>
    <xf numFmtId="175" fontId="13" fillId="0" borderId="0" xfId="0" applyNumberFormat="1" applyFont="1" applyAlignment="1">
      <alignment horizontal="right"/>
    </xf>
    <xf numFmtId="172" fontId="13" fillId="0" borderId="8" xfId="0" applyNumberFormat="1" applyFont="1" applyBorder="1" applyAlignment="1">
      <alignment horizontal="right"/>
    </xf>
    <xf numFmtId="0" fontId="17" fillId="0" borderId="0" xfId="0" applyFont="1" applyAlignment="1">
      <alignment horizontal="left"/>
    </xf>
    <xf numFmtId="172" fontId="17" fillId="0" borderId="0" xfId="0" applyNumberFormat="1" applyFont="1" applyAlignment="1">
      <alignment horizontal="right"/>
    </xf>
    <xf numFmtId="0" fontId="21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173" fontId="17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173" fontId="13" fillId="0" borderId="0" xfId="0" applyNumberFormat="1" applyFont="1" applyAlignment="1">
      <alignment horizontal="center"/>
    </xf>
    <xf numFmtId="0" fontId="17" fillId="0" borderId="0" xfId="0" applyFont="1"/>
    <xf numFmtId="0" fontId="23" fillId="8" borderId="0" xfId="0" applyFont="1" applyFill="1"/>
    <xf numFmtId="175" fontId="23" fillId="8" borderId="0" xfId="0" applyNumberFormat="1" applyFont="1" applyFill="1" applyAlignment="1">
      <alignment horizontal="right"/>
    </xf>
    <xf numFmtId="165" fontId="23" fillId="8" borderId="0" xfId="0" applyNumberFormat="1" applyFont="1" applyFill="1" applyAlignment="1">
      <alignment horizontal="right"/>
    </xf>
    <xf numFmtId="0" fontId="22" fillId="8" borderId="0" xfId="0" applyFont="1" applyFill="1"/>
    <xf numFmtId="0" fontId="17" fillId="0" borderId="0" xfId="4" applyFont="1" applyAlignment="1">
      <alignment horizontal="center" wrapText="1"/>
    </xf>
    <xf numFmtId="0" fontId="23" fillId="8" borderId="0" xfId="0" applyFont="1" applyFill="1" applyAlignment="1">
      <alignment horizontal="centerContinuous"/>
    </xf>
    <xf numFmtId="0" fontId="22" fillId="8" borderId="0" xfId="0" applyFont="1" applyFill="1" applyAlignment="1">
      <alignment horizontal="centerContinuous"/>
    </xf>
    <xf numFmtId="0" fontId="17" fillId="7" borderId="0" xfId="0" applyFont="1" applyFill="1" applyAlignment="1">
      <alignment horizontal="center"/>
    </xf>
    <xf numFmtId="9" fontId="9" fillId="0" borderId="0" xfId="0" applyNumberFormat="1" applyFont="1"/>
    <xf numFmtId="0" fontId="17" fillId="7" borderId="8" xfId="0" applyFont="1" applyFill="1" applyBorder="1" applyAlignment="1">
      <alignment horizontal="center"/>
    </xf>
    <xf numFmtId="175" fontId="17" fillId="7" borderId="8" xfId="0" applyNumberFormat="1" applyFont="1" applyFill="1" applyBorder="1" applyAlignment="1">
      <alignment horizontal="center"/>
    </xf>
    <xf numFmtId="175" fontId="17" fillId="7" borderId="8" xfId="0" applyNumberFormat="1" applyFont="1" applyFill="1" applyBorder="1" applyAlignment="1">
      <alignment horizontal="centerContinuous"/>
    </xf>
    <xf numFmtId="165" fontId="17" fillId="7" borderId="8" xfId="0" applyNumberFormat="1" applyFont="1" applyFill="1" applyBorder="1" applyAlignment="1">
      <alignment horizontal="centerContinuous"/>
    </xf>
    <xf numFmtId="165" fontId="17" fillId="7" borderId="8" xfId="0" applyNumberFormat="1" applyFont="1" applyFill="1" applyBorder="1" applyAlignment="1">
      <alignment horizontal="center"/>
    </xf>
    <xf numFmtId="165" fontId="13" fillId="0" borderId="0" xfId="0" applyNumberFormat="1" applyFont="1"/>
    <xf numFmtId="0" fontId="17" fillId="7" borderId="0" xfId="4" applyFont="1" applyFill="1" applyAlignment="1">
      <alignment horizontal="centerContinuous" wrapText="1"/>
    </xf>
    <xf numFmtId="176" fontId="13" fillId="0" borderId="0" xfId="0" applyNumberFormat="1" applyFont="1" applyAlignment="1">
      <alignment horizontal="center"/>
    </xf>
    <xf numFmtId="0" fontId="17" fillId="0" borderId="2" xfId="0" applyFont="1" applyBorder="1" applyAlignment="1">
      <alignment horizontal="left"/>
    </xf>
    <xf numFmtId="42" fontId="17" fillId="0" borderId="2" xfId="0" applyNumberFormat="1" applyFont="1" applyBorder="1" applyAlignment="1">
      <alignment horizontal="center"/>
    </xf>
    <xf numFmtId="175" fontId="17" fillId="0" borderId="2" xfId="0" applyNumberFormat="1" applyFont="1" applyBorder="1" applyAlignment="1">
      <alignment horizontal="right"/>
    </xf>
    <xf numFmtId="165" fontId="17" fillId="0" borderId="2" xfId="0" applyNumberFormat="1" applyFont="1" applyBorder="1" applyAlignment="1">
      <alignment horizontal="right"/>
    </xf>
    <xf numFmtId="172" fontId="17" fillId="0" borderId="2" xfId="0" applyNumberFormat="1" applyFont="1" applyBorder="1" applyAlignment="1">
      <alignment horizontal="right"/>
    </xf>
    <xf numFmtId="176" fontId="13" fillId="0" borderId="5" xfId="0" applyNumberFormat="1" applyFont="1" applyBorder="1" applyAlignment="1">
      <alignment horizontal="center"/>
    </xf>
    <xf numFmtId="0" fontId="17" fillId="3" borderId="10" xfId="0" applyFont="1" applyFill="1" applyBorder="1" applyAlignment="1">
      <alignment horizontal="left"/>
    </xf>
    <xf numFmtId="0" fontId="17" fillId="3" borderId="9" xfId="0" applyFont="1" applyFill="1" applyBorder="1" applyAlignment="1">
      <alignment horizontal="center"/>
    </xf>
    <xf numFmtId="173" fontId="17" fillId="3" borderId="9" xfId="0" applyNumberFormat="1" applyFont="1" applyFill="1" applyBorder="1" applyAlignment="1">
      <alignment horizontal="center"/>
    </xf>
    <xf numFmtId="172" fontId="17" fillId="3" borderId="11" xfId="0" applyNumberFormat="1" applyFont="1" applyFill="1" applyBorder="1" applyAlignment="1">
      <alignment horizontal="right"/>
    </xf>
    <xf numFmtId="179" fontId="13" fillId="0" borderId="0" xfId="0" applyNumberFormat="1" applyFont="1" applyAlignment="1">
      <alignment horizontal="right"/>
    </xf>
    <xf numFmtId="179" fontId="17" fillId="0" borderId="2" xfId="0" applyNumberFormat="1" applyFont="1" applyBorder="1" applyAlignment="1">
      <alignment horizontal="right"/>
    </xf>
    <xf numFmtId="179" fontId="17" fillId="0" borderId="0" xfId="0" applyNumberFormat="1" applyFont="1" applyAlignment="1">
      <alignment horizontal="right"/>
    </xf>
    <xf numFmtId="179" fontId="18" fillId="0" borderId="0" xfId="0" applyNumberFormat="1" applyFont="1" applyAlignment="1">
      <alignment horizontal="right"/>
    </xf>
    <xf numFmtId="179" fontId="17" fillId="3" borderId="9" xfId="0" applyNumberFormat="1" applyFont="1" applyFill="1" applyBorder="1" applyAlignment="1">
      <alignment horizontal="right"/>
    </xf>
    <xf numFmtId="179" fontId="13" fillId="0" borderId="8" xfId="0" applyNumberFormat="1" applyFont="1" applyBorder="1" applyAlignment="1">
      <alignment horizontal="right"/>
    </xf>
    <xf numFmtId="176" fontId="9" fillId="0" borderId="0" xfId="0" applyNumberFormat="1" applyFont="1" applyAlignment="1">
      <alignment horizontal="center"/>
    </xf>
    <xf numFmtId="179" fontId="1" fillId="0" borderId="0" xfId="0" applyNumberFormat="1" applyFont="1" applyAlignment="1">
      <alignment horizontal="right"/>
    </xf>
    <xf numFmtId="180" fontId="13" fillId="0" borderId="0" xfId="0" applyNumberFormat="1" applyFont="1" applyAlignment="1">
      <alignment horizontal="right"/>
    </xf>
    <xf numFmtId="180" fontId="17" fillId="3" borderId="9" xfId="0" applyNumberFormat="1" applyFont="1" applyFill="1" applyBorder="1" applyAlignment="1">
      <alignment horizontal="right"/>
    </xf>
    <xf numFmtId="172" fontId="9" fillId="4" borderId="7" xfId="0" applyNumberFormat="1" applyFont="1" applyFill="1" applyBorder="1" applyAlignment="1">
      <alignment horizontal="center"/>
    </xf>
    <xf numFmtId="172" fontId="13" fillId="0" borderId="0" xfId="0" applyNumberFormat="1" applyFont="1" applyAlignment="1">
      <alignment horizontal="center"/>
    </xf>
    <xf numFmtId="0" fontId="15" fillId="5" borderId="0" xfId="0" applyFont="1" applyFill="1" applyAlignment="1">
      <alignment horizontal="center"/>
    </xf>
    <xf numFmtId="0" fontId="4" fillId="0" borderId="0" xfId="0" applyFont="1" applyAlignment="1">
      <alignment horizontal="centerContinuous"/>
    </xf>
    <xf numFmtId="0" fontId="13" fillId="0" borderId="0" xfId="0" applyFont="1" applyAlignment="1">
      <alignment horizontal="left" indent="1"/>
    </xf>
    <xf numFmtId="179" fontId="1" fillId="0" borderId="0" xfId="0" applyNumberFormat="1" applyFont="1"/>
    <xf numFmtId="0" fontId="17" fillId="7" borderId="5" xfId="4" applyFont="1" applyFill="1" applyBorder="1" applyAlignment="1">
      <alignment horizontal="center" wrapText="1"/>
    </xf>
    <xf numFmtId="165" fontId="13" fillId="0" borderId="5" xfId="0" applyNumberFormat="1" applyFont="1" applyBorder="1" applyAlignment="1">
      <alignment horizontal="right"/>
    </xf>
    <xf numFmtId="0" fontId="13" fillId="0" borderId="2" xfId="0" applyFont="1" applyBorder="1" applyAlignment="1">
      <alignment horizontal="center"/>
    </xf>
    <xf numFmtId="173" fontId="13" fillId="0" borderId="2" xfId="0" applyNumberFormat="1" applyFont="1" applyBorder="1" applyAlignment="1">
      <alignment horizontal="center"/>
    </xf>
    <xf numFmtId="1" fontId="13" fillId="0" borderId="0" xfId="0" applyNumberFormat="1" applyFont="1" applyAlignment="1">
      <alignment horizontal="center"/>
    </xf>
    <xf numFmtId="179" fontId="13" fillId="0" borderId="0" xfId="0" applyNumberFormat="1" applyFont="1" applyAlignment="1">
      <alignment horizontal="center"/>
    </xf>
    <xf numFmtId="179" fontId="17" fillId="0" borderId="0" xfId="0" applyNumberFormat="1" applyFont="1" applyAlignment="1">
      <alignment horizontal="center"/>
    </xf>
    <xf numFmtId="0" fontId="13" fillId="0" borderId="0" xfId="0" quotePrefix="1" applyFont="1"/>
    <xf numFmtId="172" fontId="17" fillId="0" borderId="0" xfId="0" applyNumberFormat="1" applyFont="1" applyAlignment="1">
      <alignment horizontal="center"/>
    </xf>
    <xf numFmtId="172" fontId="1" fillId="0" borderId="0" xfId="0" applyNumberFormat="1" applyFont="1"/>
    <xf numFmtId="172" fontId="1" fillId="0" borderId="0" xfId="0" applyNumberFormat="1" applyFont="1" applyAlignment="1">
      <alignment horizontal="center"/>
    </xf>
    <xf numFmtId="178" fontId="9" fillId="0" borderId="0" xfId="0" applyNumberFormat="1" applyFont="1" applyAlignment="1">
      <alignment horizontal="center"/>
    </xf>
    <xf numFmtId="0" fontId="1" fillId="0" borderId="0" xfId="0" applyFont="1" applyAlignment="1">
      <alignment horizontal="center" wrapText="1"/>
    </xf>
    <xf numFmtId="0" fontId="17" fillId="0" borderId="2" xfId="0" applyFont="1" applyBorder="1" applyAlignment="1">
      <alignment horizontal="center"/>
    </xf>
    <xf numFmtId="173" fontId="17" fillId="0" borderId="2" xfId="0" applyNumberFormat="1" applyFont="1" applyBorder="1" applyAlignment="1">
      <alignment horizontal="center"/>
    </xf>
    <xf numFmtId="0" fontId="13" fillId="0" borderId="2" xfId="0" applyFont="1" applyBorder="1" applyAlignment="1">
      <alignment horizontal="left" indent="1"/>
    </xf>
    <xf numFmtId="42" fontId="18" fillId="0" borderId="2" xfId="0" applyNumberFormat="1" applyFont="1" applyBorder="1" applyAlignment="1">
      <alignment horizontal="center"/>
    </xf>
    <xf numFmtId="176" fontId="13" fillId="0" borderId="2" xfId="0" applyNumberFormat="1" applyFont="1" applyBorder="1" applyAlignment="1">
      <alignment horizontal="center"/>
    </xf>
    <xf numFmtId="180" fontId="18" fillId="0" borderId="2" xfId="0" applyNumberFormat="1" applyFont="1" applyBorder="1" applyAlignment="1">
      <alignment horizontal="right"/>
    </xf>
    <xf numFmtId="179" fontId="18" fillId="0" borderId="2" xfId="0" applyNumberFormat="1" applyFont="1" applyBorder="1" applyAlignment="1">
      <alignment horizontal="right"/>
    </xf>
    <xf numFmtId="172" fontId="18" fillId="0" borderId="2" xfId="0" applyNumberFormat="1" applyFont="1" applyBorder="1" applyAlignment="1">
      <alignment horizontal="right"/>
    </xf>
    <xf numFmtId="176" fontId="9" fillId="4" borderId="7" xfId="0" applyNumberFormat="1" applyFont="1" applyFill="1" applyBorder="1" applyAlignment="1">
      <alignment horizontal="center"/>
    </xf>
    <xf numFmtId="0" fontId="13" fillId="0" borderId="0" xfId="0" applyFont="1" applyAlignment="1">
      <alignment horizontal="centerContinuous"/>
    </xf>
    <xf numFmtId="165" fontId="4" fillId="0" borderId="2" xfId="0" applyNumberFormat="1" applyFont="1" applyBorder="1"/>
    <xf numFmtId="179" fontId="13" fillId="0" borderId="5" xfId="0" applyNumberFormat="1" applyFont="1" applyBorder="1" applyAlignment="1">
      <alignment horizontal="center"/>
    </xf>
    <xf numFmtId="172" fontId="13" fillId="0" borderId="5" xfId="0" applyNumberFormat="1" applyFont="1" applyBorder="1" applyAlignment="1">
      <alignment horizontal="right"/>
    </xf>
  </cellXfs>
  <cellStyles count="9">
    <cellStyle name="Comma 2" xfId="5" xr:uid="{F0D07EE4-A2D7-4072-B087-388D8B835FD3}"/>
    <cellStyle name="Comma 3" xfId="8" xr:uid="{9CF0B725-0A95-4C4E-BB0E-EB0483022D78}"/>
    <cellStyle name="Normal" xfId="0" builtinId="0"/>
    <cellStyle name="Normal 2" xfId="2" xr:uid="{E28F3379-423F-4FF8-8C0E-ABECB8E31219}"/>
    <cellStyle name="Normal 3" xfId="4" xr:uid="{BAE21D82-3EDE-435A-9B14-CF298D1ACAF5}"/>
    <cellStyle name="Normal 3 2 2" xfId="3" xr:uid="{4EFDC0FB-4E4F-4707-A1FD-7694EC6EFF9D}"/>
    <cellStyle name="Normal 5" xfId="6" xr:uid="{D90E1FFB-007C-4D67-85A8-5127126F3748}"/>
    <cellStyle name="Note" xfId="1" builtinId="10"/>
    <cellStyle name="Percent 2" xfId="7" xr:uid="{FE41F107-964A-420C-8D82-2A58E15D94A1}"/>
  </cellStyles>
  <dxfs count="0"/>
  <tableStyles count="0" defaultTableStyle="TableStyleMedium2" defaultPivotStyle="PivotStyleLight16"/>
  <colors>
    <mruColors>
      <color rgb="FF0000FF"/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Gross MOIC and Estimated Gross IRR by Fund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Gross MOIC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Track_Record!$Q$71:$Q$73</c:f>
              <c:strCache>
                <c:ptCount val="3"/>
                <c:pt idx="0">
                  <c:v>Fund I (2017)</c:v>
                </c:pt>
                <c:pt idx="1">
                  <c:v>Fund II (2020)</c:v>
                </c:pt>
                <c:pt idx="2">
                  <c:v>Fund III (2023)</c:v>
                </c:pt>
              </c:strCache>
            </c:strRef>
          </c:cat>
          <c:val>
            <c:numRef>
              <c:f>Track_Record!$K$71:$K$73</c:f>
              <c:numCache>
                <c:formatCode>0.0\ \x;[Red]\ \(0.0\ \x\)</c:formatCode>
                <c:ptCount val="3"/>
                <c:pt idx="0">
                  <c:v>3.55723199092456</c:v>
                </c:pt>
                <c:pt idx="1">
                  <c:v>2.3124117891776006</c:v>
                </c:pt>
                <c:pt idx="2">
                  <c:v>1.2950912421926908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B4-4483-A7D7-833042DABA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6160176"/>
        <c:axId val="846164016"/>
      </c:barChart>
      <c:lineChart>
        <c:grouping val="standard"/>
        <c:varyColors val="0"/>
        <c:ser>
          <c:idx val="1"/>
          <c:order val="1"/>
          <c:tx>
            <c:v>Gross IRR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Track_Record!$C$71:$C$73</c:f>
              <c:strCache>
                <c:ptCount val="3"/>
                <c:pt idx="0">
                  <c:v>Fund I</c:v>
                </c:pt>
                <c:pt idx="1">
                  <c:v>Fund II</c:v>
                </c:pt>
                <c:pt idx="2">
                  <c:v>Fund III</c:v>
                </c:pt>
              </c:strCache>
            </c:strRef>
          </c:cat>
          <c:val>
            <c:numRef>
              <c:f>Track_Record!$L$71:$L$73</c:f>
              <c:numCache>
                <c:formatCode>_(0.0%_);\(0.0%\);_(* "-"_);_(@_)_%</c:formatCode>
                <c:ptCount val="3"/>
                <c:pt idx="0">
                  <c:v>0.27400327505545258</c:v>
                </c:pt>
                <c:pt idx="1">
                  <c:v>0.25008493055182041</c:v>
                </c:pt>
                <c:pt idx="2">
                  <c:v>0.17441908990707991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B4-4483-A7D7-833042DABA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1136"/>
        <c:axId val="846151056"/>
      </c:lineChart>
      <c:catAx>
        <c:axId val="84616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164016"/>
        <c:crosses val="autoZero"/>
        <c:auto val="1"/>
        <c:lblAlgn val="ctr"/>
        <c:lblOffset val="100"/>
        <c:noMultiLvlLbl val="0"/>
      </c:catAx>
      <c:valAx>
        <c:axId val="846164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\ \x;[Red]\ \(0.0\ \x\)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160176"/>
        <c:crosses val="autoZero"/>
        <c:crossBetween val="between"/>
      </c:valAx>
      <c:valAx>
        <c:axId val="846151056"/>
        <c:scaling>
          <c:orientation val="minMax"/>
        </c:scaling>
        <c:delete val="0"/>
        <c:axPos val="r"/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161136"/>
        <c:crosses val="max"/>
        <c:crossBetween val="between"/>
      </c:valAx>
      <c:catAx>
        <c:axId val="8461611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4615105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Gross MOIC and Estimated Gross IRR by Industry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Track_Record!$T$9</c:f>
              <c:strCache>
                <c:ptCount val="1"/>
                <c:pt idx="0">
                  <c:v>Gross MOIC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Track_Record!$Q$10:$Q$12</c:f>
              <c:strCache>
                <c:ptCount val="3"/>
                <c:pt idx="0">
                  <c:v>Healthcare</c:v>
                </c:pt>
                <c:pt idx="1">
                  <c:v>Consumer</c:v>
                </c:pt>
                <c:pt idx="2">
                  <c:v>Business Services</c:v>
                </c:pt>
              </c:strCache>
            </c:strRef>
          </c:cat>
          <c:val>
            <c:numRef>
              <c:f>Track_Record!$T$10:$T$12</c:f>
              <c:numCache>
                <c:formatCode>0.0\ \x;[Red]\ \(0.0\ \x\)</c:formatCode>
                <c:ptCount val="3"/>
                <c:pt idx="0">
                  <c:v>2.1677130644870699</c:v>
                </c:pt>
                <c:pt idx="1">
                  <c:v>1.9889478781468386</c:v>
                </c:pt>
                <c:pt idx="2">
                  <c:v>1.4751869245523856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E1-4DCF-9D0A-A1DDF50D80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6160176"/>
        <c:axId val="846164016"/>
      </c:barChart>
      <c:lineChart>
        <c:grouping val="standard"/>
        <c:varyColors val="0"/>
        <c:ser>
          <c:idx val="1"/>
          <c:order val="1"/>
          <c:tx>
            <c:strRef>
              <c:f>Track_Record!$U$9</c:f>
              <c:strCache>
                <c:ptCount val="1"/>
                <c:pt idx="0">
                  <c:v>Gross IRR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Track_Record!$Q$10:$Q$12</c:f>
              <c:strCache>
                <c:ptCount val="3"/>
                <c:pt idx="0">
                  <c:v>Healthcare</c:v>
                </c:pt>
                <c:pt idx="1">
                  <c:v>Consumer</c:v>
                </c:pt>
                <c:pt idx="2">
                  <c:v>Business Services</c:v>
                </c:pt>
              </c:strCache>
            </c:strRef>
          </c:cat>
          <c:val>
            <c:numRef>
              <c:f>Track_Record!$U$10:$U$12</c:f>
              <c:numCache>
                <c:formatCode>_(0.0%_);\(0.0%\);_(* "-"_);_(@_)_%</c:formatCode>
                <c:ptCount val="3"/>
                <c:pt idx="0">
                  <c:v>0.23182637863018807</c:v>
                </c:pt>
                <c:pt idx="1">
                  <c:v>0.23359656720785921</c:v>
                </c:pt>
                <c:pt idx="2">
                  <c:v>0.13416015650172838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CE1-4DCF-9D0A-A1DDF50D80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1136"/>
        <c:axId val="846151056"/>
      </c:lineChart>
      <c:catAx>
        <c:axId val="84616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164016"/>
        <c:crosses val="autoZero"/>
        <c:auto val="1"/>
        <c:lblAlgn val="ctr"/>
        <c:lblOffset val="100"/>
        <c:noMultiLvlLbl val="0"/>
      </c:catAx>
      <c:valAx>
        <c:axId val="846164016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\ \x;[Red]\ \(0.0\ \x\)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160176"/>
        <c:crosses val="autoZero"/>
        <c:crossBetween val="between"/>
      </c:valAx>
      <c:valAx>
        <c:axId val="846151056"/>
        <c:scaling>
          <c:orientation val="minMax"/>
          <c:max val="0.30000000000000004"/>
        </c:scaling>
        <c:delete val="0"/>
        <c:axPos val="r"/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161136"/>
        <c:crosses val="max"/>
        <c:crossBetween val="between"/>
      </c:valAx>
      <c:catAx>
        <c:axId val="8461611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4615105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Gross MOIC and Estimated Gross IRR by Deal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Track_Record!$U$17</c:f>
              <c:strCache>
                <c:ptCount val="1"/>
                <c:pt idx="0">
                  <c:v>Gross MOIC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Track_Record!$X$18:$X$21</c:f>
              <c:strCache>
                <c:ptCount val="4"/>
                <c:pt idx="0">
                  <c:v> $334 - $450M </c:v>
                </c:pt>
                <c:pt idx="1">
                  <c:v> $239 - $334M </c:v>
                </c:pt>
                <c:pt idx="2">
                  <c:v> $191 - $239M </c:v>
                </c:pt>
                <c:pt idx="3">
                  <c:v> $115 - $191M </c:v>
                </c:pt>
              </c:strCache>
            </c:strRef>
          </c:cat>
          <c:val>
            <c:numRef>
              <c:f>Track_Record!$U$18:$U$21</c:f>
              <c:numCache>
                <c:formatCode>0.0\ \x;[Red]\ \(0.0\ \x\)</c:formatCode>
                <c:ptCount val="4"/>
                <c:pt idx="0">
                  <c:v>1.7965505632817802</c:v>
                </c:pt>
                <c:pt idx="1">
                  <c:v>2.2705755055115975</c:v>
                </c:pt>
                <c:pt idx="2">
                  <c:v>2.2588631134965751</c:v>
                </c:pt>
                <c:pt idx="3">
                  <c:v>1.7123145355613658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4F-4222-A335-9BE5125AB3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6160176"/>
        <c:axId val="846164016"/>
      </c:barChart>
      <c:lineChart>
        <c:grouping val="standard"/>
        <c:varyColors val="0"/>
        <c:ser>
          <c:idx val="1"/>
          <c:order val="1"/>
          <c:tx>
            <c:strRef>
              <c:f>Track_Record!$V$17</c:f>
              <c:strCache>
                <c:ptCount val="1"/>
                <c:pt idx="0">
                  <c:v>Gross IRR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Track_Record!$V$18:$V$21</c:f>
              <c:numCache>
                <c:formatCode>_(0.0%_);\(0.0%\);_(* "-"_);_(@_)_%</c:formatCode>
                <c:ptCount val="4"/>
                <c:pt idx="0">
                  <c:v>0.23805854520216232</c:v>
                </c:pt>
                <c:pt idx="1">
                  <c:v>0.22658083605838678</c:v>
                </c:pt>
                <c:pt idx="2">
                  <c:v>0.18478875165785835</c:v>
                </c:pt>
                <c:pt idx="3">
                  <c:v>0.18072286721709074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4F-4222-A335-9BE5125AB3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1136"/>
        <c:axId val="846151056"/>
      </c:lineChart>
      <c:catAx>
        <c:axId val="84616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164016"/>
        <c:crosses val="autoZero"/>
        <c:auto val="1"/>
        <c:lblAlgn val="ctr"/>
        <c:lblOffset val="100"/>
        <c:noMultiLvlLbl val="0"/>
      </c:catAx>
      <c:valAx>
        <c:axId val="846164016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\ \x;[Red]\ \(0.0\ \x\)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160176"/>
        <c:crosses val="autoZero"/>
        <c:crossBetween val="between"/>
      </c:valAx>
      <c:valAx>
        <c:axId val="846151056"/>
        <c:scaling>
          <c:orientation val="minMax"/>
          <c:max val="0.30000000000000004"/>
        </c:scaling>
        <c:delete val="0"/>
        <c:axPos val="r"/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161136"/>
        <c:crosses val="max"/>
        <c:crossBetween val="between"/>
      </c:valAx>
      <c:catAx>
        <c:axId val="8461611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4615105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Gross MOIC and Estimated Gross IRR by Portfolio Company</a:t>
            </a:r>
            <a:r>
              <a:rPr lang="en-US" baseline="0">
                <a:solidFill>
                  <a:sysClr val="windowText" lastClr="000000"/>
                </a:solidFill>
              </a:rPr>
              <a:t> Status</a:t>
            </a:r>
            <a:endParaRPr lang="en-US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Track_Record!$T$26</c:f>
              <c:strCache>
                <c:ptCount val="1"/>
                <c:pt idx="0">
                  <c:v>Gross MOIC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Track_Record!$Q$27:$Q$28</c:f>
              <c:strCache>
                <c:ptCount val="2"/>
                <c:pt idx="0">
                  <c:v>Realized</c:v>
                </c:pt>
                <c:pt idx="1">
                  <c:v>Unrealized</c:v>
                </c:pt>
              </c:strCache>
            </c:strRef>
          </c:cat>
          <c:val>
            <c:numRef>
              <c:f>Track_Record!$T$27:$T$28</c:f>
              <c:numCache>
                <c:formatCode>0.0\ \x;[Red]\ \(0.0\ \x\)</c:formatCode>
                <c:ptCount val="2"/>
                <c:pt idx="0">
                  <c:v>3.0027313266443709</c:v>
                </c:pt>
                <c:pt idx="1">
                  <c:v>1.5003534965093963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54-4BF6-AB0A-1237F28317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6160176"/>
        <c:axId val="846164016"/>
      </c:barChart>
      <c:lineChart>
        <c:grouping val="standard"/>
        <c:varyColors val="0"/>
        <c:ser>
          <c:idx val="1"/>
          <c:order val="1"/>
          <c:tx>
            <c:strRef>
              <c:f>Track_Record!$U$26</c:f>
              <c:strCache>
                <c:ptCount val="1"/>
                <c:pt idx="0">
                  <c:v>Gross IRR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Track_Record!$Q$27:$Q$28</c:f>
              <c:strCache>
                <c:ptCount val="2"/>
                <c:pt idx="0">
                  <c:v>Realized</c:v>
                </c:pt>
                <c:pt idx="1">
                  <c:v>Unrealized</c:v>
                </c:pt>
              </c:strCache>
            </c:strRef>
          </c:cat>
          <c:val>
            <c:numRef>
              <c:f>Track_Record!$U$27:$U$28</c:f>
              <c:numCache>
                <c:formatCode>_(0.0%_);\(0.0%\);_(* "-"_);_(@_)_%</c:formatCode>
                <c:ptCount val="2"/>
                <c:pt idx="0">
                  <c:v>0.28776289372853575</c:v>
                </c:pt>
                <c:pt idx="1">
                  <c:v>0.1794461992320977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54-4BF6-AB0A-1237F28317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1136"/>
        <c:axId val="846151056"/>
      </c:lineChart>
      <c:catAx>
        <c:axId val="84616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164016"/>
        <c:crosses val="autoZero"/>
        <c:auto val="1"/>
        <c:lblAlgn val="ctr"/>
        <c:lblOffset val="100"/>
        <c:noMultiLvlLbl val="0"/>
      </c:catAx>
      <c:valAx>
        <c:axId val="846164016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\ \x;[Red]\ \(0.0\ \x\)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160176"/>
        <c:crosses val="autoZero"/>
        <c:crossBetween val="between"/>
      </c:valAx>
      <c:valAx>
        <c:axId val="846151056"/>
        <c:scaling>
          <c:orientation val="minMax"/>
          <c:max val="0.30000000000000004"/>
        </c:scaling>
        <c:delete val="0"/>
        <c:axPos val="r"/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161136"/>
        <c:crosses val="max"/>
        <c:crossBetween val="between"/>
      </c:valAx>
      <c:catAx>
        <c:axId val="8461611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4615105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34471</xdr:colOff>
      <xdr:row>31</xdr:row>
      <xdr:rowOff>165705</xdr:rowOff>
    </xdr:from>
    <xdr:to>
      <xdr:col>19</xdr:col>
      <xdr:colOff>595086</xdr:colOff>
      <xdr:row>48</xdr:row>
      <xdr:rowOff>138491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A931BDE-7C33-28E8-C55A-F0001E40A63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742950</xdr:colOff>
      <xdr:row>31</xdr:row>
      <xdr:rowOff>175684</xdr:rowOff>
    </xdr:from>
    <xdr:to>
      <xdr:col>23</xdr:col>
      <xdr:colOff>617765</xdr:colOff>
      <xdr:row>48</xdr:row>
      <xdr:rowOff>148470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F63DD20-9437-410E-B4AB-507176D84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25400</xdr:colOff>
      <xdr:row>49</xdr:row>
      <xdr:rowOff>124884</xdr:rowOff>
    </xdr:from>
    <xdr:to>
      <xdr:col>19</xdr:col>
      <xdr:colOff>586015</xdr:colOff>
      <xdr:row>66</xdr:row>
      <xdr:rowOff>93436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4A2522B-9BEB-4910-A764-B2C1B7F804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730250</xdr:colOff>
      <xdr:row>49</xdr:row>
      <xdr:rowOff>124884</xdr:rowOff>
    </xdr:from>
    <xdr:to>
      <xdr:col>23</xdr:col>
      <xdr:colOff>605065</xdr:colOff>
      <xdr:row>66</xdr:row>
      <xdr:rowOff>93436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311847C-5C66-4F81-B006-784E9FFC1A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38F3C-8427-464D-BA42-87ED9A10FD04}">
  <sheetPr>
    <pageSetUpPr autoPageBreaks="0"/>
  </sheetPr>
  <dimension ref="B2:W51"/>
  <sheetViews>
    <sheetView showGridLines="0" zoomScaleNormal="100" zoomScaleSheetLayoutView="85" workbookViewId="0">
      <selection activeCell="B2" sqref="B2"/>
    </sheetView>
  </sheetViews>
  <sheetFormatPr defaultColWidth="9.1796875" defaultRowHeight="15.75" customHeight="1"/>
  <cols>
    <col min="1" max="1" width="2.7265625" style="65" customWidth="1"/>
    <col min="2" max="3" width="22.7265625" style="65" bestFit="1" customWidth="1"/>
    <col min="4" max="4" width="47.26953125" style="65" bestFit="1" customWidth="1"/>
    <col min="5" max="5" width="2.7265625" style="65" customWidth="1"/>
    <col min="6" max="16" width="14.7265625" style="65" customWidth="1"/>
    <col min="17" max="17" width="2.7265625" style="65" customWidth="1"/>
    <col min="18" max="18" width="21.7265625" style="65" bestFit="1" customWidth="1"/>
    <col min="19" max="19" width="9.54296875" style="65" bestFit="1" customWidth="1"/>
    <col min="20" max="16384" width="9.1796875" style="65"/>
  </cols>
  <sheetData>
    <row r="2" spans="2:23" ht="15.75" customHeight="1">
      <c r="B2" s="24" t="s">
        <v>100</v>
      </c>
    </row>
    <row r="3" spans="2:23" ht="15.75" customHeight="1">
      <c r="B3" s="65" t="s">
        <v>110</v>
      </c>
      <c r="L3" s="79"/>
      <c r="M3" s="79"/>
    </row>
    <row r="4" spans="2:23" ht="15.75" customHeight="1">
      <c r="B4" s="83"/>
      <c r="K4" s="77"/>
      <c r="O4" s="108"/>
    </row>
    <row r="5" spans="2:23" ht="15.75" customHeight="1">
      <c r="B5" s="84" t="s">
        <v>127</v>
      </c>
      <c r="C5" s="106"/>
      <c r="D5" s="106"/>
      <c r="F5" s="106" t="s">
        <v>126</v>
      </c>
      <c r="G5" s="106"/>
      <c r="H5" s="105"/>
      <c r="I5" s="105"/>
      <c r="J5" s="105"/>
      <c r="K5" s="105"/>
      <c r="L5" s="105"/>
      <c r="M5" s="105"/>
      <c r="N5" s="105"/>
      <c r="O5" s="105"/>
      <c r="P5" s="105"/>
    </row>
    <row r="6" spans="2:23" ht="15.75" customHeight="1">
      <c r="B6" s="85"/>
      <c r="C6" s="85"/>
      <c r="D6" s="85"/>
      <c r="E6" s="104"/>
      <c r="F6" s="85"/>
      <c r="G6" s="85"/>
      <c r="H6" s="85"/>
      <c r="I6" s="85"/>
      <c r="J6" s="85"/>
      <c r="K6" s="85"/>
      <c r="L6" s="85"/>
      <c r="M6" s="85"/>
      <c r="N6" s="85"/>
      <c r="O6" s="115"/>
      <c r="P6" s="115"/>
    </row>
    <row r="7" spans="2:23" ht="15.75" customHeight="1">
      <c r="B7" s="143" t="s">
        <v>105</v>
      </c>
      <c r="C7" s="143" t="s">
        <v>86</v>
      </c>
      <c r="D7" s="143" t="s">
        <v>106</v>
      </c>
      <c r="E7" s="104"/>
      <c r="F7" s="143" t="s">
        <v>104</v>
      </c>
      <c r="G7" s="143" t="s">
        <v>95</v>
      </c>
      <c r="H7" s="143" t="s">
        <v>111</v>
      </c>
      <c r="I7" s="143" t="s">
        <v>112</v>
      </c>
      <c r="J7" s="143" t="s">
        <v>138</v>
      </c>
      <c r="K7" s="143" t="s">
        <v>113</v>
      </c>
      <c r="L7" s="143" t="s">
        <v>87</v>
      </c>
      <c r="M7" s="143" t="s">
        <v>89</v>
      </c>
      <c r="N7" s="143" t="s">
        <v>114</v>
      </c>
      <c r="O7" s="143" t="s">
        <v>97</v>
      </c>
      <c r="P7" s="143" t="s">
        <v>96</v>
      </c>
    </row>
    <row r="8" spans="2:23" ht="15.75" customHeight="1">
      <c r="B8" s="78" t="s">
        <v>132</v>
      </c>
      <c r="C8" s="78" t="s">
        <v>130</v>
      </c>
      <c r="D8" s="78" t="s">
        <v>155</v>
      </c>
      <c r="E8" s="78"/>
      <c r="F8" s="97" t="s">
        <v>101</v>
      </c>
      <c r="G8" s="97" t="s">
        <v>87</v>
      </c>
      <c r="H8" s="133">
        <v>43026</v>
      </c>
      <c r="I8" s="133">
        <v>44834</v>
      </c>
      <c r="J8" s="154">
        <v>0.6</v>
      </c>
      <c r="K8" s="81">
        <v>323.5</v>
      </c>
      <c r="L8" s="81">
        <v>1832</v>
      </c>
      <c r="M8" s="81">
        <v>0</v>
      </c>
      <c r="N8" s="75">
        <f t="shared" ref="N8:N27" si="0">SUM(L8:M8)</f>
        <v>1832</v>
      </c>
      <c r="O8" s="130">
        <f t="shared" ref="O8:O27" si="1">N8/K8</f>
        <v>5.6630602782071096</v>
      </c>
      <c r="P8" s="89">
        <f t="shared" ref="P8:P27" si="2">O8^(1/YEARFRAC(H8,I8))-1</f>
        <v>0.41948743432193458</v>
      </c>
      <c r="R8" s="134"/>
    </row>
    <row r="9" spans="2:23" ht="15.75" customHeight="1">
      <c r="B9" s="155" t="s">
        <v>133</v>
      </c>
      <c r="C9" s="78" t="s">
        <v>130</v>
      </c>
      <c r="D9" s="78" t="s">
        <v>136</v>
      </c>
      <c r="E9" s="78"/>
      <c r="F9" s="97" t="s">
        <v>101</v>
      </c>
      <c r="G9" s="97" t="s">
        <v>87</v>
      </c>
      <c r="H9" s="133">
        <v>43204</v>
      </c>
      <c r="I9" s="133">
        <v>45261</v>
      </c>
      <c r="J9" s="154">
        <v>0.67900000000000005</v>
      </c>
      <c r="K9" s="81">
        <v>225</v>
      </c>
      <c r="L9" s="81">
        <v>655</v>
      </c>
      <c r="M9" s="81">
        <v>0</v>
      </c>
      <c r="N9" s="75">
        <f t="shared" si="0"/>
        <v>655</v>
      </c>
      <c r="O9" s="130">
        <f t="shared" si="1"/>
        <v>2.911111111111111</v>
      </c>
      <c r="P9" s="89">
        <f t="shared" si="2"/>
        <v>0.20897672106075738</v>
      </c>
      <c r="R9" s="134"/>
    </row>
    <row r="10" spans="2:23" ht="15.75" customHeight="1">
      <c r="B10" s="78" t="s">
        <v>134</v>
      </c>
      <c r="C10" s="78" t="s">
        <v>130</v>
      </c>
      <c r="D10" s="78" t="s">
        <v>137</v>
      </c>
      <c r="E10" s="78"/>
      <c r="F10" s="97" t="s">
        <v>101</v>
      </c>
      <c r="G10" s="97" t="s">
        <v>87</v>
      </c>
      <c r="H10" s="133">
        <v>43405</v>
      </c>
      <c r="I10" s="133">
        <v>44681</v>
      </c>
      <c r="J10" s="154">
        <v>0.60399999999999998</v>
      </c>
      <c r="K10" s="81">
        <v>218</v>
      </c>
      <c r="L10" s="81">
        <v>395.6</v>
      </c>
      <c r="M10" s="81">
        <v>0</v>
      </c>
      <c r="N10" s="75">
        <f t="shared" si="0"/>
        <v>395.6</v>
      </c>
      <c r="O10" s="130">
        <f t="shared" si="1"/>
        <v>1.8146788990825689</v>
      </c>
      <c r="P10" s="89">
        <f t="shared" si="2"/>
        <v>0.18577292099882348</v>
      </c>
      <c r="R10" s="134"/>
    </row>
    <row r="11" spans="2:23" ht="15.75" customHeight="1">
      <c r="B11" s="78" t="s">
        <v>135</v>
      </c>
      <c r="C11" s="78" t="s">
        <v>131</v>
      </c>
      <c r="D11" s="78" t="s">
        <v>173</v>
      </c>
      <c r="E11" s="78"/>
      <c r="F11" s="97" t="s">
        <v>101</v>
      </c>
      <c r="G11" s="97" t="s">
        <v>89</v>
      </c>
      <c r="H11" s="133">
        <v>44050</v>
      </c>
      <c r="I11" s="133">
        <v>46000</v>
      </c>
      <c r="J11" s="154">
        <v>0.95299999999999996</v>
      </c>
      <c r="K11" s="81">
        <v>115</v>
      </c>
      <c r="L11" s="81">
        <v>0</v>
      </c>
      <c r="M11" s="81">
        <v>253.1</v>
      </c>
      <c r="N11" s="75">
        <f t="shared" si="0"/>
        <v>253.1</v>
      </c>
      <c r="O11" s="130">
        <f t="shared" si="1"/>
        <v>2.2008695652173911</v>
      </c>
      <c r="P11" s="89">
        <f t="shared" si="2"/>
        <v>0.15922993862453616</v>
      </c>
      <c r="R11" s="134"/>
    </row>
    <row r="12" spans="2:23" ht="15.75" customHeight="1">
      <c r="B12" s="78" t="s">
        <v>140</v>
      </c>
      <c r="C12" s="78" t="s">
        <v>131</v>
      </c>
      <c r="D12" s="78" t="s">
        <v>141</v>
      </c>
      <c r="E12" s="78"/>
      <c r="F12" s="97" t="s">
        <v>102</v>
      </c>
      <c r="G12" s="97" t="s">
        <v>87</v>
      </c>
      <c r="H12" s="133">
        <v>44352</v>
      </c>
      <c r="I12" s="133">
        <v>45611</v>
      </c>
      <c r="J12" s="154">
        <v>0.75</v>
      </c>
      <c r="K12" s="81">
        <v>400</v>
      </c>
      <c r="L12" s="81">
        <v>1350</v>
      </c>
      <c r="M12" s="81">
        <v>0</v>
      </c>
      <c r="N12" s="75">
        <f t="shared" si="0"/>
        <v>1350</v>
      </c>
      <c r="O12" s="130">
        <f t="shared" si="1"/>
        <v>3.375</v>
      </c>
      <c r="P12" s="89">
        <f t="shared" si="2"/>
        <v>0.42354043068825309</v>
      </c>
      <c r="R12" s="134"/>
    </row>
    <row r="13" spans="2:23" ht="15.75" customHeight="1">
      <c r="B13" s="78" t="s">
        <v>168</v>
      </c>
      <c r="C13" s="78" t="s">
        <v>139</v>
      </c>
      <c r="D13" s="78" t="s">
        <v>142</v>
      </c>
      <c r="E13" s="78"/>
      <c r="F13" s="97" t="s">
        <v>102</v>
      </c>
      <c r="G13" s="97" t="s">
        <v>87</v>
      </c>
      <c r="H13" s="133">
        <v>44227</v>
      </c>
      <c r="I13" s="133">
        <v>45869</v>
      </c>
      <c r="J13" s="154">
        <v>0.9</v>
      </c>
      <c r="K13" s="81">
        <v>200</v>
      </c>
      <c r="L13" s="81">
        <v>421.1</v>
      </c>
      <c r="M13" s="81">
        <v>0</v>
      </c>
      <c r="N13" s="75">
        <f t="shared" si="0"/>
        <v>421.1</v>
      </c>
      <c r="O13" s="130">
        <f t="shared" si="1"/>
        <v>2.1055000000000001</v>
      </c>
      <c r="P13" s="89">
        <f t="shared" si="2"/>
        <v>0.17993129859014001</v>
      </c>
      <c r="R13" s="134"/>
      <c r="S13" s="148"/>
      <c r="T13" s="135"/>
      <c r="U13" s="135"/>
      <c r="W13" s="142"/>
    </row>
    <row r="14" spans="2:23" ht="15.75" customHeight="1">
      <c r="B14" s="78" t="s">
        <v>144</v>
      </c>
      <c r="C14" s="78" t="s">
        <v>139</v>
      </c>
      <c r="D14" s="78" t="s">
        <v>143</v>
      </c>
      <c r="E14" s="78"/>
      <c r="F14" s="97" t="s">
        <v>102</v>
      </c>
      <c r="G14" s="97" t="s">
        <v>87</v>
      </c>
      <c r="H14" s="133">
        <v>44920.208333333336</v>
      </c>
      <c r="I14" s="133">
        <v>45626</v>
      </c>
      <c r="J14" s="154">
        <v>1</v>
      </c>
      <c r="K14" s="81">
        <v>175</v>
      </c>
      <c r="L14" s="81">
        <v>235.1</v>
      </c>
      <c r="M14" s="81">
        <v>0</v>
      </c>
      <c r="N14" s="75">
        <f t="shared" si="0"/>
        <v>235.1</v>
      </c>
      <c r="O14" s="130">
        <f t="shared" si="1"/>
        <v>1.3434285714285714</v>
      </c>
      <c r="P14" s="89">
        <f t="shared" si="2"/>
        <v>0.16523442813219225</v>
      </c>
      <c r="R14" s="134"/>
    </row>
    <row r="15" spans="2:23" ht="15.75" customHeight="1">
      <c r="B15" s="78" t="s">
        <v>145</v>
      </c>
      <c r="C15" s="78" t="s">
        <v>130</v>
      </c>
      <c r="D15" s="78" t="s">
        <v>150</v>
      </c>
      <c r="E15" s="78"/>
      <c r="F15" s="97" t="s">
        <v>102</v>
      </c>
      <c r="G15" s="97" t="s">
        <v>87</v>
      </c>
      <c r="H15" s="133">
        <v>44742</v>
      </c>
      <c r="I15" s="133">
        <v>45930</v>
      </c>
      <c r="J15" s="154">
        <v>0.66700000000000004</v>
      </c>
      <c r="K15" s="81">
        <v>252.5</v>
      </c>
      <c r="L15" s="81">
        <v>498.1</v>
      </c>
      <c r="M15" s="81">
        <v>0</v>
      </c>
      <c r="N15" s="75">
        <f t="shared" si="0"/>
        <v>498.1</v>
      </c>
      <c r="O15" s="130">
        <f t="shared" si="1"/>
        <v>1.9726732673267329</v>
      </c>
      <c r="P15" s="89">
        <f t="shared" si="2"/>
        <v>0.23249794222958609</v>
      </c>
      <c r="R15" s="134"/>
    </row>
    <row r="16" spans="2:23" ht="15.75" customHeight="1">
      <c r="B16" s="78" t="s">
        <v>146</v>
      </c>
      <c r="C16" s="78" t="s">
        <v>130</v>
      </c>
      <c r="D16" s="78" t="s">
        <v>151</v>
      </c>
      <c r="E16" s="78"/>
      <c r="F16" s="97" t="s">
        <v>102</v>
      </c>
      <c r="G16" s="97" t="s">
        <v>89</v>
      </c>
      <c r="H16" s="133">
        <v>44180</v>
      </c>
      <c r="I16" s="133">
        <v>46000</v>
      </c>
      <c r="J16" s="154">
        <v>1</v>
      </c>
      <c r="K16" s="81">
        <v>212.1</v>
      </c>
      <c r="L16" s="81">
        <v>0</v>
      </c>
      <c r="M16" s="81">
        <v>601.20000000000005</v>
      </c>
      <c r="N16" s="75">
        <f t="shared" si="0"/>
        <v>601.20000000000005</v>
      </c>
      <c r="O16" s="130">
        <f t="shared" si="1"/>
        <v>2.8345120226308347</v>
      </c>
      <c r="P16" s="89">
        <f t="shared" si="2"/>
        <v>0.23253233530903872</v>
      </c>
      <c r="R16" s="134"/>
    </row>
    <row r="17" spans="2:23" ht="15.75" customHeight="1">
      <c r="B17" s="78" t="s">
        <v>147</v>
      </c>
      <c r="C17" s="78" t="s">
        <v>139</v>
      </c>
      <c r="D17" s="78" t="s">
        <v>152</v>
      </c>
      <c r="E17" s="78"/>
      <c r="F17" s="97" t="s">
        <v>102</v>
      </c>
      <c r="G17" s="97" t="s">
        <v>89</v>
      </c>
      <c r="H17" s="133">
        <v>44484</v>
      </c>
      <c r="I17" s="133">
        <v>46000</v>
      </c>
      <c r="J17" s="154">
        <v>0.81200000000000006</v>
      </c>
      <c r="K17" s="81">
        <v>195.87116589999999</v>
      </c>
      <c r="L17" s="81">
        <v>0</v>
      </c>
      <c r="M17" s="81">
        <v>301.10000000000002</v>
      </c>
      <c r="N17" s="75">
        <f t="shared" si="0"/>
        <v>301.10000000000002</v>
      </c>
      <c r="O17" s="130">
        <f t="shared" si="1"/>
        <v>1.5372349402041317</v>
      </c>
      <c r="P17" s="89">
        <f t="shared" si="2"/>
        <v>0.10916881320088101</v>
      </c>
      <c r="R17" s="134"/>
    </row>
    <row r="18" spans="2:23" ht="15.75" customHeight="1">
      <c r="B18" s="78" t="s">
        <v>148</v>
      </c>
      <c r="C18" s="78" t="s">
        <v>130</v>
      </c>
      <c r="D18" s="78" t="s">
        <v>153</v>
      </c>
      <c r="E18" s="78"/>
      <c r="F18" s="97" t="s">
        <v>102</v>
      </c>
      <c r="G18" s="97" t="s">
        <v>89</v>
      </c>
      <c r="H18" s="133">
        <v>44896.888888888891</v>
      </c>
      <c r="I18" s="133">
        <v>46000</v>
      </c>
      <c r="J18" s="154">
        <v>1</v>
      </c>
      <c r="K18" s="81">
        <v>168.37438032</v>
      </c>
      <c r="L18" s="81">
        <v>0</v>
      </c>
      <c r="M18" s="81">
        <v>332.1</v>
      </c>
      <c r="N18" s="75">
        <f t="shared" si="0"/>
        <v>332.1</v>
      </c>
      <c r="O18" s="130">
        <f t="shared" si="1"/>
        <v>1.9723903325959395</v>
      </c>
      <c r="P18" s="89">
        <f t="shared" si="2"/>
        <v>0.25201039115054069</v>
      </c>
      <c r="R18" s="134"/>
    </row>
    <row r="19" spans="2:23" ht="15.75" customHeight="1">
      <c r="B19" s="78" t="s">
        <v>149</v>
      </c>
      <c r="C19" s="78" t="s">
        <v>130</v>
      </c>
      <c r="D19" s="78" t="s">
        <v>154</v>
      </c>
      <c r="E19" s="78"/>
      <c r="F19" s="97" t="s">
        <v>102</v>
      </c>
      <c r="G19" s="97" t="s">
        <v>89</v>
      </c>
      <c r="H19" s="133">
        <v>44607</v>
      </c>
      <c r="I19" s="133">
        <v>46000</v>
      </c>
      <c r="J19" s="154">
        <v>0.68100000000000005</v>
      </c>
      <c r="K19" s="81">
        <v>157</v>
      </c>
      <c r="L19" s="81">
        <v>0</v>
      </c>
      <c r="M19" s="81">
        <v>333.1</v>
      </c>
      <c r="N19" s="75">
        <f t="shared" si="0"/>
        <v>333.1</v>
      </c>
      <c r="O19" s="130">
        <f t="shared" si="1"/>
        <v>2.1216560509554143</v>
      </c>
      <c r="P19" s="89">
        <f t="shared" si="2"/>
        <v>0.21784410397886322</v>
      </c>
      <c r="R19" s="134"/>
    </row>
    <row r="20" spans="2:23" ht="15.75" customHeight="1">
      <c r="B20" s="78" t="s">
        <v>157</v>
      </c>
      <c r="C20" s="78" t="s">
        <v>131</v>
      </c>
      <c r="D20" s="78" t="s">
        <v>156</v>
      </c>
      <c r="E20" s="78"/>
      <c r="F20" s="97" t="s">
        <v>103</v>
      </c>
      <c r="G20" s="97" t="s">
        <v>89</v>
      </c>
      <c r="H20" s="133">
        <v>45687</v>
      </c>
      <c r="I20" s="133">
        <v>46000</v>
      </c>
      <c r="J20" s="154">
        <v>0.72099999999999997</v>
      </c>
      <c r="K20" s="81">
        <v>450</v>
      </c>
      <c r="L20" s="81">
        <v>0</v>
      </c>
      <c r="M20" s="81">
        <v>500</v>
      </c>
      <c r="N20" s="75">
        <f t="shared" si="0"/>
        <v>500</v>
      </c>
      <c r="O20" s="130">
        <f t="shared" si="1"/>
        <v>1.1111111111111112</v>
      </c>
      <c r="P20" s="89">
        <f t="shared" si="2"/>
        <v>0.13060186557119335</v>
      </c>
      <c r="R20" s="134"/>
    </row>
    <row r="21" spans="2:23" ht="15.75" customHeight="1">
      <c r="B21" s="78" t="s">
        <v>160</v>
      </c>
      <c r="C21" s="78" t="s">
        <v>130</v>
      </c>
      <c r="D21" s="78" t="s">
        <v>158</v>
      </c>
      <c r="E21" s="78"/>
      <c r="F21" s="97" t="s">
        <v>103</v>
      </c>
      <c r="G21" s="97" t="s">
        <v>89</v>
      </c>
      <c r="H21" s="133">
        <v>45261</v>
      </c>
      <c r="I21" s="133">
        <v>46000</v>
      </c>
      <c r="J21" s="154">
        <v>1</v>
      </c>
      <c r="K21" s="81">
        <v>372.1</v>
      </c>
      <c r="L21" s="81">
        <v>0</v>
      </c>
      <c r="M21" s="81">
        <v>701.2</v>
      </c>
      <c r="N21" s="75">
        <f t="shared" si="0"/>
        <v>701.2</v>
      </c>
      <c r="O21" s="130">
        <f t="shared" si="1"/>
        <v>1.8844396667562484</v>
      </c>
      <c r="P21" s="89">
        <f t="shared" si="2"/>
        <v>0.36797804827128444</v>
      </c>
      <c r="R21" s="134"/>
    </row>
    <row r="22" spans="2:23" ht="15.75" customHeight="1">
      <c r="B22" s="78" t="s">
        <v>159</v>
      </c>
      <c r="C22" s="78" t="s">
        <v>130</v>
      </c>
      <c r="D22" s="78" t="s">
        <v>163</v>
      </c>
      <c r="E22" s="78"/>
      <c r="F22" s="97" t="s">
        <v>103</v>
      </c>
      <c r="G22" s="97" t="s">
        <v>89</v>
      </c>
      <c r="H22" s="133">
        <v>45320.694444444445</v>
      </c>
      <c r="I22" s="133">
        <v>46000</v>
      </c>
      <c r="J22" s="154">
        <v>1</v>
      </c>
      <c r="K22" s="81">
        <v>426.94456577000005</v>
      </c>
      <c r="L22" s="81">
        <v>0</v>
      </c>
      <c r="M22" s="81">
        <v>525</v>
      </c>
      <c r="N22" s="75">
        <f t="shared" si="0"/>
        <v>525</v>
      </c>
      <c r="O22" s="130">
        <f t="shared" si="1"/>
        <v>1.2296678353386596</v>
      </c>
      <c r="P22" s="89">
        <f t="shared" si="2"/>
        <v>0.11749142212772323</v>
      </c>
      <c r="R22" s="134"/>
      <c r="S22" s="148"/>
      <c r="T22" s="135"/>
      <c r="U22" s="135"/>
      <c r="W22" s="142"/>
    </row>
    <row r="23" spans="2:23" ht="15.75" customHeight="1">
      <c r="B23" s="78" t="s">
        <v>161</v>
      </c>
      <c r="C23" s="78" t="s">
        <v>131</v>
      </c>
      <c r="D23" s="78" t="s">
        <v>162</v>
      </c>
      <c r="E23" s="78"/>
      <c r="F23" s="97" t="s">
        <v>103</v>
      </c>
      <c r="G23" s="97" t="s">
        <v>89</v>
      </c>
      <c r="H23" s="133">
        <v>45107</v>
      </c>
      <c r="I23" s="133">
        <v>46000</v>
      </c>
      <c r="J23" s="154">
        <v>0.51</v>
      </c>
      <c r="K23" s="81">
        <v>364.64771428000006</v>
      </c>
      <c r="L23" s="81">
        <v>0</v>
      </c>
      <c r="M23" s="81">
        <v>541.5</v>
      </c>
      <c r="N23" s="75">
        <f t="shared" si="0"/>
        <v>541.5</v>
      </c>
      <c r="O23" s="130">
        <f t="shared" si="1"/>
        <v>1.4849949109627527</v>
      </c>
      <c r="P23" s="89">
        <f t="shared" si="2"/>
        <v>0.17579346974379306</v>
      </c>
      <c r="R23" s="134"/>
    </row>
    <row r="24" spans="2:23" ht="15.75" customHeight="1">
      <c r="B24" s="78" t="s">
        <v>165</v>
      </c>
      <c r="C24" s="78" t="s">
        <v>130</v>
      </c>
      <c r="D24" s="78" t="s">
        <v>164</v>
      </c>
      <c r="E24" s="78"/>
      <c r="F24" s="97" t="s">
        <v>103</v>
      </c>
      <c r="G24" s="97" t="s">
        <v>89</v>
      </c>
      <c r="H24" s="133">
        <v>45864.138888888891</v>
      </c>
      <c r="I24" s="133">
        <v>46000</v>
      </c>
      <c r="J24" s="154">
        <v>1</v>
      </c>
      <c r="K24" s="81">
        <v>315.7</v>
      </c>
      <c r="L24" s="81">
        <v>0</v>
      </c>
      <c r="M24" s="81">
        <v>331.2</v>
      </c>
      <c r="N24" s="75">
        <f t="shared" si="0"/>
        <v>331.2</v>
      </c>
      <c r="O24" s="130">
        <f t="shared" si="1"/>
        <v>1.0490972442191955</v>
      </c>
      <c r="P24" s="89">
        <f t="shared" si="2"/>
        <v>0.13852710204626084</v>
      </c>
      <c r="R24" s="134"/>
    </row>
    <row r="25" spans="2:23" ht="15.75" customHeight="1">
      <c r="B25" s="78" t="s">
        <v>167</v>
      </c>
      <c r="C25" s="78" t="s">
        <v>130</v>
      </c>
      <c r="D25" s="78" t="s">
        <v>166</v>
      </c>
      <c r="E25" s="78"/>
      <c r="F25" s="97" t="s">
        <v>103</v>
      </c>
      <c r="G25" s="97" t="s">
        <v>89</v>
      </c>
      <c r="H25" s="133">
        <v>45578.222222222219</v>
      </c>
      <c r="I25" s="133">
        <v>46000</v>
      </c>
      <c r="J25" s="154">
        <v>0.91</v>
      </c>
      <c r="K25" s="81">
        <v>275</v>
      </c>
      <c r="L25" s="81">
        <v>0</v>
      </c>
      <c r="M25" s="81">
        <v>351.1</v>
      </c>
      <c r="N25" s="75">
        <f t="shared" si="0"/>
        <v>351.1</v>
      </c>
      <c r="O25" s="130">
        <f t="shared" si="1"/>
        <v>1.2767272727272727</v>
      </c>
      <c r="P25" s="89">
        <f t="shared" si="2"/>
        <v>0.235423033898712</v>
      </c>
      <c r="R25" s="134"/>
    </row>
    <row r="26" spans="2:23" ht="15.75" customHeight="1">
      <c r="B26" s="78" t="s">
        <v>171</v>
      </c>
      <c r="C26" s="78" t="s">
        <v>139</v>
      </c>
      <c r="D26" s="78" t="s">
        <v>172</v>
      </c>
      <c r="E26" s="78"/>
      <c r="F26" s="97" t="s">
        <v>103</v>
      </c>
      <c r="G26" s="97" t="s">
        <v>89</v>
      </c>
      <c r="H26" s="133">
        <v>45625.875</v>
      </c>
      <c r="I26" s="133">
        <v>46000</v>
      </c>
      <c r="J26" s="154">
        <v>1</v>
      </c>
      <c r="K26" s="81">
        <v>312</v>
      </c>
      <c r="L26" s="81">
        <v>0</v>
      </c>
      <c r="M26" s="81">
        <v>345.1</v>
      </c>
      <c r="N26" s="75">
        <f t="shared" si="0"/>
        <v>345.1</v>
      </c>
      <c r="O26" s="130">
        <f t="shared" si="1"/>
        <v>1.1060897435897437</v>
      </c>
      <c r="P26" s="89">
        <f t="shared" si="2"/>
        <v>0.10307957187586503</v>
      </c>
      <c r="R26" s="134"/>
    </row>
    <row r="27" spans="2:23" ht="15.75" customHeight="1">
      <c r="B27" s="78" t="s">
        <v>170</v>
      </c>
      <c r="C27" s="78" t="s">
        <v>130</v>
      </c>
      <c r="D27" s="78" t="s">
        <v>169</v>
      </c>
      <c r="E27" s="78"/>
      <c r="F27" s="97" t="s">
        <v>103</v>
      </c>
      <c r="G27" s="97" t="s">
        <v>89</v>
      </c>
      <c r="H27" s="133">
        <v>45779.986111111109</v>
      </c>
      <c r="I27" s="133">
        <v>46000</v>
      </c>
      <c r="J27" s="154">
        <v>0.65629091052866495</v>
      </c>
      <c r="K27" s="81">
        <v>152.30000000000001</v>
      </c>
      <c r="L27" s="81">
        <v>0</v>
      </c>
      <c r="M27" s="81">
        <v>161.1</v>
      </c>
      <c r="N27" s="75">
        <f t="shared" si="0"/>
        <v>161.1</v>
      </c>
      <c r="O27" s="130">
        <f t="shared" si="1"/>
        <v>1.0577806959947471</v>
      </c>
      <c r="P27" s="89">
        <f t="shared" si="2"/>
        <v>9.7670580871463075E-2</v>
      </c>
      <c r="R27" s="134"/>
    </row>
    <row r="28" spans="2:23" ht="15.75" customHeight="1">
      <c r="K28" s="79"/>
      <c r="N28" s="79"/>
      <c r="P28" s="152"/>
    </row>
    <row r="29" spans="2:23" ht="15.75" customHeight="1">
      <c r="H29" s="116"/>
      <c r="I29" s="116"/>
      <c r="K29" s="81"/>
      <c r="O29" s="130"/>
    </row>
    <row r="30" spans="2:23" ht="15.75" customHeight="1">
      <c r="H30" s="116"/>
      <c r="I30" s="116"/>
      <c r="K30" s="81"/>
      <c r="O30" s="130"/>
    </row>
    <row r="31" spans="2:23" ht="15.75" customHeight="1">
      <c r="H31" s="116"/>
      <c r="I31" s="116"/>
      <c r="K31" s="81"/>
      <c r="O31" s="130"/>
    </row>
    <row r="32" spans="2:23" ht="15.75" customHeight="1">
      <c r="H32" s="116"/>
      <c r="I32" s="116"/>
      <c r="K32" s="81"/>
      <c r="O32" s="130"/>
    </row>
    <row r="33" spans="3:15" ht="15.75" customHeight="1">
      <c r="H33" s="116"/>
      <c r="I33" s="116"/>
      <c r="K33" s="81"/>
      <c r="O33" s="130"/>
    </row>
    <row r="34" spans="3:15" ht="15.75" customHeight="1">
      <c r="H34" s="116"/>
      <c r="I34" s="116"/>
      <c r="K34" s="81"/>
      <c r="O34" s="130"/>
    </row>
    <row r="35" spans="3:15" ht="15.75" customHeight="1">
      <c r="H35" s="116"/>
      <c r="I35" s="116"/>
      <c r="K35" s="81"/>
      <c r="O35" s="130"/>
    </row>
    <row r="36" spans="3:15" ht="15.75" customHeight="1">
      <c r="H36" s="116"/>
      <c r="I36" s="116"/>
      <c r="K36" s="81"/>
      <c r="O36" s="130"/>
    </row>
    <row r="37" spans="3:15" ht="15.75" customHeight="1">
      <c r="H37" s="116"/>
      <c r="I37" s="116"/>
      <c r="K37" s="81"/>
      <c r="O37" s="130"/>
    </row>
    <row r="38" spans="3:15" ht="15.75" customHeight="1">
      <c r="H38" s="116"/>
      <c r="I38" s="116"/>
      <c r="K38" s="81"/>
      <c r="O38" s="130"/>
    </row>
    <row r="39" spans="3:15" ht="15.75" customHeight="1">
      <c r="C39"/>
      <c r="H39" s="116"/>
      <c r="I39" s="116"/>
      <c r="K39" s="81"/>
      <c r="O39" s="130"/>
    </row>
    <row r="40" spans="3:15" ht="15.75" customHeight="1">
      <c r="C40"/>
      <c r="H40" s="116"/>
      <c r="I40" s="116"/>
      <c r="K40" s="81"/>
      <c r="O40" s="130"/>
    </row>
    <row r="41" spans="3:15" ht="15.75" customHeight="1">
      <c r="C41"/>
      <c r="H41" s="116"/>
      <c r="I41" s="116"/>
      <c r="K41" s="81"/>
      <c r="O41" s="130"/>
    </row>
    <row r="42" spans="3:15" ht="15.75" customHeight="1">
      <c r="C42"/>
      <c r="H42" s="116"/>
      <c r="I42" s="116"/>
      <c r="K42" s="81"/>
      <c r="O42" s="130"/>
    </row>
    <row r="43" spans="3:15" ht="15.75" customHeight="1">
      <c r="C43"/>
      <c r="H43" s="116"/>
      <c r="I43" s="116"/>
    </row>
    <row r="44" spans="3:15" ht="15.75" customHeight="1">
      <c r="C44"/>
      <c r="H44" s="116"/>
      <c r="I44" s="116"/>
    </row>
    <row r="45" spans="3:15" ht="15.75" customHeight="1">
      <c r="C45"/>
      <c r="H45" s="116"/>
      <c r="I45" s="116"/>
    </row>
    <row r="46" spans="3:15" ht="15.75" customHeight="1">
      <c r="C46"/>
      <c r="H46" s="116"/>
      <c r="I46" s="116"/>
    </row>
    <row r="47" spans="3:15" ht="15.75" customHeight="1">
      <c r="C47"/>
      <c r="H47" s="116"/>
      <c r="I47" s="116"/>
    </row>
    <row r="48" spans="3:15" ht="15.75" customHeight="1">
      <c r="C48"/>
      <c r="H48" s="116"/>
      <c r="I48" s="116"/>
    </row>
    <row r="49" spans="3:9" ht="15.75" customHeight="1">
      <c r="C49"/>
      <c r="H49" s="116"/>
      <c r="I49" s="116"/>
    </row>
    <row r="50" spans="3:9" ht="15.75" customHeight="1">
      <c r="C50"/>
      <c r="H50" s="116"/>
      <c r="I50" s="116"/>
    </row>
    <row r="51" spans="3:9" ht="15.75" customHeight="1">
      <c r="C51"/>
      <c r="H51" s="116"/>
      <c r="I51" s="116"/>
    </row>
  </sheetData>
  <sortState xmlns:xlrd2="http://schemas.microsoft.com/office/spreadsheetml/2017/richdata2" ref="B8:W27">
    <sortCondition ref="F8:F27"/>
    <sortCondition ref="H8:H27"/>
  </sortState>
  <pageMargins left="0.7" right="0.7" top="0.75" bottom="0.75" header="0.3" footer="0.3"/>
  <pageSetup scale="15" orientation="portrait" r:id="rId1"/>
  <ignoredErrors>
    <ignoredError sqref="N8:N2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BCB2B-0FF8-4CF7-B560-D8A53A58066F}">
  <sheetPr>
    <pageSetUpPr autoPageBreaks="0"/>
  </sheetPr>
  <dimension ref="B2:AJ162"/>
  <sheetViews>
    <sheetView showGridLines="0" tabSelected="1" topLeftCell="D39" zoomScaleNormal="100" workbookViewId="0">
      <selection activeCell="M74" sqref="M74"/>
    </sheetView>
  </sheetViews>
  <sheetFormatPr defaultColWidth="9.1796875" defaultRowHeight="15.5" outlineLevelRow="1"/>
  <cols>
    <col min="1" max="2" width="2.7265625" style="2" customWidth="1"/>
    <col min="3" max="3" width="24.7265625" style="2" customWidth="1"/>
    <col min="4" max="9" width="23.1796875" style="2" customWidth="1"/>
    <col min="10" max="14" width="13.7265625" style="2" customWidth="1"/>
    <col min="15" max="16" width="2.7265625" style="2" customWidth="1"/>
    <col min="17" max="17" width="17.6328125" style="2" bestFit="1" customWidth="1"/>
    <col min="18" max="21" width="15.6328125" style="2" customWidth="1"/>
    <col min="22" max="24" width="13.7265625" style="2" customWidth="1"/>
    <col min="25" max="25" width="2.6328125" style="2" customWidth="1"/>
    <col min="26" max="16384" width="9.1796875" style="2"/>
  </cols>
  <sheetData>
    <row r="2" spans="2:36" ht="18.5">
      <c r="B2" s="24" t="s">
        <v>116</v>
      </c>
    </row>
    <row r="3" spans="2:36">
      <c r="B3" s="65" t="str">
        <f>Master_Sheet!$B$3</f>
        <v>($ in Millions USD)</v>
      </c>
    </row>
    <row r="5" spans="2:36">
      <c r="B5" s="3" t="s">
        <v>117</v>
      </c>
      <c r="C5" s="4"/>
      <c r="D5" s="139" t="s">
        <v>68</v>
      </c>
      <c r="E5" s="73"/>
      <c r="F5" s="73"/>
      <c r="G5" s="73"/>
      <c r="H5" s="73"/>
      <c r="I5" s="73"/>
      <c r="J5" s="73"/>
      <c r="K5" s="73"/>
      <c r="L5" s="73"/>
      <c r="M5" s="80"/>
      <c r="P5" s="103" t="s">
        <v>124</v>
      </c>
      <c r="Q5" s="100"/>
      <c r="R5" s="100"/>
      <c r="S5" s="101"/>
      <c r="T5" s="101"/>
      <c r="U5" s="102"/>
      <c r="V5" s="102"/>
      <c r="W5" s="102"/>
      <c r="X5" s="10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</row>
    <row r="6" spans="2:36">
      <c r="P6" s="82"/>
      <c r="Q6" s="82"/>
      <c r="R6" s="82"/>
      <c r="S6" s="82"/>
      <c r="T6" s="90"/>
      <c r="U6" s="90"/>
      <c r="V6" s="88"/>
      <c r="W6" s="88"/>
      <c r="X6" s="88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</row>
    <row r="7" spans="2:36">
      <c r="C7" s="65" t="s">
        <v>177</v>
      </c>
      <c r="D7" s="44" t="s">
        <v>178</v>
      </c>
      <c r="E7" s="164">
        <v>46000</v>
      </c>
      <c r="P7" s="82"/>
      <c r="Q7" s="99" t="s">
        <v>179</v>
      </c>
      <c r="R7" s="82"/>
      <c r="S7" s="82"/>
      <c r="T7" s="90"/>
      <c r="U7" s="90"/>
      <c r="V7" s="88"/>
      <c r="W7" s="88"/>
      <c r="X7" s="88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</row>
    <row r="8" spans="2:36">
      <c r="C8" s="65" t="s">
        <v>119</v>
      </c>
      <c r="D8" s="44" t="s">
        <v>63</v>
      </c>
      <c r="E8" s="8">
        <v>0.2</v>
      </c>
      <c r="P8" s="82"/>
      <c r="Q8" s="82"/>
      <c r="R8" s="82"/>
      <c r="S8" s="82"/>
      <c r="T8" s="90"/>
      <c r="U8" s="90"/>
      <c r="V8" s="88"/>
      <c r="W8" s="88"/>
      <c r="X8" s="88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</row>
    <row r="9" spans="2:36">
      <c r="C9" s="65" t="s">
        <v>176</v>
      </c>
      <c r="D9" s="44" t="s">
        <v>63</v>
      </c>
      <c r="E9" s="8">
        <v>0.08</v>
      </c>
      <c r="P9" s="82"/>
      <c r="Q9" s="109" t="s">
        <v>86</v>
      </c>
      <c r="R9" s="109" t="s">
        <v>129</v>
      </c>
      <c r="S9" s="109" t="s">
        <v>114</v>
      </c>
      <c r="T9" s="109" t="s">
        <v>97</v>
      </c>
      <c r="U9" s="109" t="s">
        <v>96</v>
      </c>
      <c r="V9" s="165"/>
      <c r="W9" s="165"/>
      <c r="X9" s="88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</row>
    <row r="10" spans="2:36">
      <c r="C10" s="65" t="s">
        <v>120</v>
      </c>
      <c r="D10" s="44" t="s">
        <v>63</v>
      </c>
      <c r="E10" s="8">
        <v>1.4999999999999999E-2</v>
      </c>
      <c r="P10" s="82"/>
      <c r="Q10" s="141" t="str" cm="1">
        <f t="array" ref="Q10:Q12">_xlfn.UNIQUE(_xlfn._xlws.FILTER(Master_Sheet!C:C,(Master_Sheet!C:C&lt;&gt;"Industry")*(Master_Sheet!C:C&lt;&gt;"")))</f>
        <v>Healthcare</v>
      </c>
      <c r="R10" s="135">
        <f>SUMIF(Master_Sheet!$C:$C,$Q10,Master_Sheet!$K:$K)</f>
        <v>3098.5189460900001</v>
      </c>
      <c r="S10" s="135">
        <f>SUMIF(Master_Sheet!$C:$C,$Q10,Master_Sheet!$N:$N)</f>
        <v>6716.7000000000007</v>
      </c>
      <c r="T10" s="148">
        <f>S10/R10</f>
        <v>2.1677130644870699</v>
      </c>
      <c r="U10" s="89" cm="1">
        <f t="array" ref="U10">SUMPRODUCT((Master_Sheet!$C$8:$C$27=$Q10)*(Master_Sheet!$P$8:$P$27)*(Master_Sheet!$K$8:$K$27))/SUMIF(Master_Sheet!$C$8:$C$27,$Q10,Master_Sheet!$K$8:$K$27)</f>
        <v>0.23182637863018807</v>
      </c>
      <c r="V10" s="97"/>
      <c r="W10" s="97"/>
      <c r="X10" s="88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</row>
    <row r="11" spans="2:36">
      <c r="C11" s="65" t="s">
        <v>121</v>
      </c>
      <c r="D11" s="44" t="s">
        <v>122</v>
      </c>
      <c r="E11" s="72">
        <v>10</v>
      </c>
      <c r="P11" s="82"/>
      <c r="Q11" s="141" t="str">
        <v>Consumer</v>
      </c>
      <c r="R11" s="75">
        <f>SUMIF(Master_Sheet!$C:$C,$Q11,Master_Sheet!$K:$K)</f>
        <v>1329.6477142799999</v>
      </c>
      <c r="S11" s="75">
        <f>SUMIF(Master_Sheet!$C:$C,$Q11,Master_Sheet!$N:$N)</f>
        <v>2644.6</v>
      </c>
      <c r="T11" s="148">
        <f t="shared" ref="T11:T13" si="0">S11/R11</f>
        <v>1.9889478781468386</v>
      </c>
      <c r="U11" s="89" cm="1">
        <f t="array" ref="U11">SUMPRODUCT((Master_Sheet!$C$8:$C$27=$Q11)*(Master_Sheet!$P$8:$P$27)*(Master_Sheet!$K$8:$K$27))/SUMIF(Master_Sheet!$C$8:$C$27,$Q11,Master_Sheet!$K$8:$K$27)</f>
        <v>0.23359656720785921</v>
      </c>
      <c r="V11" s="135"/>
      <c r="W11" s="135"/>
      <c r="X11" s="88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</row>
    <row r="12" spans="2:36">
      <c r="C12" s="65" t="s">
        <v>123</v>
      </c>
      <c r="D12" s="44" t="s">
        <v>63</v>
      </c>
      <c r="E12" s="8">
        <v>0.05</v>
      </c>
      <c r="N12" s="65"/>
      <c r="P12" s="82"/>
      <c r="Q12" s="141" t="str">
        <v>Business Services</v>
      </c>
      <c r="R12" s="75">
        <f>SUMIF(Master_Sheet!$C:$C,$Q12,Master_Sheet!$K:$K)</f>
        <v>882.87116590000005</v>
      </c>
      <c r="S12" s="75">
        <f>SUMIF(Master_Sheet!$C:$C,$Q12,Master_Sheet!$N:$N)</f>
        <v>1302.4000000000001</v>
      </c>
      <c r="T12" s="167">
        <f t="shared" si="0"/>
        <v>1.4751869245523856</v>
      </c>
      <c r="U12" s="168" cm="1">
        <f t="array" ref="U12">SUMPRODUCT((Master_Sheet!$C$8:$C$27=$Q12)*(Master_Sheet!$P$8:$P$27)*(Master_Sheet!$K$8:$K$27))/SUMIF(Master_Sheet!$C$8:$C$27,$Q12,Master_Sheet!$K$8:$K$27)</f>
        <v>0.13416015650172838</v>
      </c>
      <c r="V12" s="88"/>
      <c r="W12" s="88"/>
      <c r="X12" s="88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</row>
    <row r="13" spans="2:36">
      <c r="P13" s="82"/>
      <c r="Q13" s="21" t="s">
        <v>98</v>
      </c>
      <c r="R13" s="120">
        <f>SUM(R10:R12)</f>
        <v>5311.0378262699996</v>
      </c>
      <c r="S13" s="120">
        <f>SUM(S10:S12)</f>
        <v>10663.7</v>
      </c>
      <c r="T13" s="149">
        <f t="shared" si="0"/>
        <v>2.0078373283756545</v>
      </c>
      <c r="U13" s="93">
        <f>SUMPRODUCT(Master_Sheet!$P$8:$P$27,Master_Sheet!$K$8:$K$27)/Track_Record!R13</f>
        <v>0.21603418001533448</v>
      </c>
      <c r="V13" s="88"/>
      <c r="W13" s="88"/>
      <c r="X13" s="88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</row>
    <row r="14" spans="2:36">
      <c r="B14" s="3" t="str">
        <f>"Detailed Track Record as of "&amp;TEXT(Analysis_Date,"mmm yyyy")&amp;":"</f>
        <v>Detailed Track Record as of Dec 2025:</v>
      </c>
      <c r="C14" s="4"/>
      <c r="D14" s="67"/>
      <c r="E14" s="73"/>
      <c r="F14" s="73"/>
      <c r="G14" s="73"/>
      <c r="H14" s="73"/>
      <c r="I14" s="73"/>
      <c r="J14" s="73"/>
      <c r="K14" s="73"/>
      <c r="L14" s="73"/>
      <c r="M14" s="80"/>
      <c r="P14" s="82"/>
      <c r="Q14" s="82"/>
      <c r="R14" s="148"/>
      <c r="S14" s="135"/>
      <c r="T14" s="135"/>
      <c r="U14" s="148"/>
      <c r="V14" s="135"/>
      <c r="W14" s="135"/>
      <c r="X14" s="88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</row>
    <row r="15" spans="2:36">
      <c r="B15" s="68"/>
      <c r="C15" s="69"/>
      <c r="D15" s="70"/>
      <c r="E15" s="71"/>
      <c r="F15" s="71"/>
      <c r="G15" s="71"/>
      <c r="H15" s="71"/>
      <c r="I15" s="71"/>
      <c r="J15" s="71"/>
      <c r="K15" s="71"/>
      <c r="L15" s="71"/>
      <c r="M15" s="71"/>
      <c r="P15" s="82"/>
      <c r="Q15" s="99" t="s">
        <v>180</v>
      </c>
      <c r="R15" s="82"/>
      <c r="S15" s="82"/>
      <c r="T15" s="90"/>
      <c r="U15" s="90"/>
      <c r="V15" s="89"/>
      <c r="W15" s="88"/>
      <c r="X15" s="88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</row>
    <row r="16" spans="2:36">
      <c r="B16" s="68"/>
      <c r="C16" s="92" t="s">
        <v>101</v>
      </c>
      <c r="D16" s="70"/>
      <c r="E16" s="71"/>
      <c r="F16" s="71"/>
      <c r="G16" s="71"/>
      <c r="H16" s="71"/>
      <c r="I16" s="71"/>
      <c r="J16" s="71"/>
      <c r="K16" s="71"/>
      <c r="L16" s="71"/>
      <c r="M16" s="71"/>
      <c r="P16" s="82"/>
      <c r="Q16" s="82"/>
      <c r="R16" s="82"/>
      <c r="S16" s="82"/>
      <c r="T16" s="90"/>
      <c r="U16" s="90"/>
      <c r="V16" s="89"/>
      <c r="W16" s="88"/>
      <c r="X16" s="88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</row>
    <row r="17" spans="2:36">
      <c r="B17" s="68"/>
      <c r="C17" s="69"/>
      <c r="D17" s="70"/>
      <c r="E17" s="71"/>
      <c r="F17" s="71"/>
      <c r="G17" s="71"/>
      <c r="H17" s="71"/>
      <c r="I17" s="71"/>
      <c r="J17" s="71"/>
      <c r="K17" s="71"/>
      <c r="L17" s="71"/>
      <c r="M17" s="71"/>
      <c r="P17" s="82"/>
      <c r="Q17" s="109" t="s">
        <v>181</v>
      </c>
      <c r="R17" s="109" t="s">
        <v>182</v>
      </c>
      <c r="S17" s="109" t="s">
        <v>129</v>
      </c>
      <c r="T17" s="109" t="s">
        <v>114</v>
      </c>
      <c r="U17" s="109" t="s">
        <v>97</v>
      </c>
      <c r="V17" s="109" t="s">
        <v>96</v>
      </c>
      <c r="W17" s="88"/>
      <c r="X17" s="88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</row>
    <row r="18" spans="2:36">
      <c r="B18" s="68"/>
      <c r="C18" s="37" t="s">
        <v>87</v>
      </c>
      <c r="D18" s="37"/>
      <c r="E18" s="37"/>
      <c r="F18" s="37"/>
      <c r="G18" s="37"/>
      <c r="H18" s="37"/>
      <c r="I18" s="37"/>
      <c r="J18" s="37"/>
      <c r="K18" s="37"/>
      <c r="L18" s="37"/>
      <c r="M18" s="140"/>
      <c r="P18" s="82"/>
      <c r="Q18" s="135">
        <f>QUARTILE(Master_Sheet!K8:K27,3)</f>
        <v>333.78692856999999</v>
      </c>
      <c r="R18" s="135">
        <f>MAX(Master_Sheet!K8:K27)</f>
        <v>450</v>
      </c>
      <c r="S18" s="135">
        <f>SUMIFS(Master_Sheet!$K$8:$K$27,Master_Sheet!$K$8:$K$27,"&gt;="&amp;$Q18,Master_Sheet!$K$8:$K$27,"&lt;="&amp;$R18)</f>
        <v>2013.6922800500001</v>
      </c>
      <c r="T18" s="135">
        <f>SUMIFS(Master_Sheet!$N$8:$N$27,Master_Sheet!$K$8:$K$27,"&gt;="&amp;$Q18,Master_Sheet!$K$8:$K$27,"&lt;="&amp;$R18)</f>
        <v>3617.7</v>
      </c>
      <c r="U18" s="148">
        <f>T18/S18</f>
        <v>1.7965505632817802</v>
      </c>
      <c r="V18" s="89" cm="1">
        <f t="array" ref="V18">SUMPRODUCT((Master_Sheet!$K$8:$K$27&gt;=$Q18)*(Master_Sheet!$K$8:$K$27&lt;=$R18)*(Master_Sheet!$P$8:$P$27)*(Master_Sheet!$K$8:$K$27))/SUMIFS(Master_Sheet!$K$8:$K$27,Master_Sheet!$K$8:$K$27,"&gt;="&amp;$Q18,Master_Sheet!$K$8:$K$27,"&lt;="&amp;$R18)</f>
        <v>0.23805854520216232</v>
      </c>
      <c r="W18" s="165"/>
      <c r="X18" s="88" t="str">
        <f>TEXT(Q18,"$0")&amp;" - "&amp;TEXT(R18,"$0")&amp;"M"</f>
        <v>$334 - $450M</v>
      </c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</row>
    <row r="19" spans="2:36">
      <c r="B19" s="68"/>
      <c r="C19" s="10" t="s">
        <v>105</v>
      </c>
      <c r="D19" s="12" t="s">
        <v>86</v>
      </c>
      <c r="E19" s="12" t="s">
        <v>111</v>
      </c>
      <c r="F19" s="12" t="s">
        <v>112</v>
      </c>
      <c r="G19" s="12" t="s">
        <v>113</v>
      </c>
      <c r="H19" s="12" t="s">
        <v>87</v>
      </c>
      <c r="I19" s="12" t="s">
        <v>89</v>
      </c>
      <c r="J19" s="12" t="s">
        <v>114</v>
      </c>
      <c r="K19" s="12" t="s">
        <v>97</v>
      </c>
      <c r="L19" s="12" t="s">
        <v>96</v>
      </c>
      <c r="M19" s="14"/>
      <c r="P19" s="82"/>
      <c r="Q19" s="88">
        <f>MEDIAN(Master_Sheet!K8:K27)</f>
        <v>238.75</v>
      </c>
      <c r="R19" s="75">
        <f>QUARTILE(Master_Sheet!K8:K27,3)</f>
        <v>333.78692856999999</v>
      </c>
      <c r="S19" s="75">
        <f>SUMIFS(Master_Sheet!$K$8:$K$27,Master_Sheet!$K$8:$K$27,"&gt;="&amp;$Q19,Master_Sheet!$K$8:$K$27,"&lt;="&amp;$R19)</f>
        <v>1478.7</v>
      </c>
      <c r="T19" s="88">
        <f>SUMIFS(Master_Sheet!$N$8:$N$27,Master_Sheet!$K$8:$K$27,"&gt;="&amp;$Q19,Master_Sheet!$K$8:$K$27,"&lt;="&amp;$R19)</f>
        <v>3357.4999999999995</v>
      </c>
      <c r="U19" s="148">
        <f>T19/S19</f>
        <v>2.2705755055115975</v>
      </c>
      <c r="V19" s="89" cm="1">
        <f t="array" ref="V19">SUMPRODUCT((Master_Sheet!$K$8:$K$27&gt;=$Q19)*(Master_Sheet!$K$8:$K$27&lt;=$R19)*(Master_Sheet!$P$8:$P$27)*(Master_Sheet!$K$8:$K$27))/SUMIFS(Master_Sheet!$K$8:$K$27,Master_Sheet!$K$8:$K$27,"&gt;="&amp;$Q19,Master_Sheet!$K$8:$K$27,"&lt;="&amp;$R19)</f>
        <v>0.22658083605838678</v>
      </c>
      <c r="W19" s="97"/>
      <c r="X19" s="88" t="str">
        <f t="shared" ref="X19:X21" si="1">TEXT(Q19,"$0")&amp;" - "&amp;TEXT(R19,"$0")&amp;"M"</f>
        <v>$239 - $334M</v>
      </c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</row>
    <row r="20" spans="2:36">
      <c r="B20" s="68"/>
      <c r="C20" s="141" t="str" cm="1">
        <f t="array" ref="C20:C22">_xlfn._xlws.FILTER(Portco_Names,(Master_Sheet!$F$7:$F$27=C$16)*(Master_Sheet!$G$7:$G$27=C$18),"N/A")</f>
        <v>Lumina Pharma</v>
      </c>
      <c r="D20" s="87" t="str">
        <f t="shared" ref="D20:L22" si="2">INDEX(Portco_Data,MATCH($C20,Portco_Names,0),MATCH(D$19,Portco_Fields,0))</f>
        <v>Healthcare</v>
      </c>
      <c r="E20" s="116">
        <f t="shared" si="2"/>
        <v>43026</v>
      </c>
      <c r="F20" s="116">
        <f t="shared" si="2"/>
        <v>44834</v>
      </c>
      <c r="G20" s="135">
        <f t="shared" si="2"/>
        <v>323.5</v>
      </c>
      <c r="H20" s="135">
        <f t="shared" si="2"/>
        <v>1832</v>
      </c>
      <c r="I20" s="135">
        <f t="shared" si="2"/>
        <v>0</v>
      </c>
      <c r="J20" s="135">
        <f t="shared" si="2"/>
        <v>1832</v>
      </c>
      <c r="K20" s="127">
        <f t="shared" si="2"/>
        <v>5.6630602782071096</v>
      </c>
      <c r="L20" s="89">
        <f t="shared" si="2"/>
        <v>0.41948743432193458</v>
      </c>
      <c r="M20" s="89"/>
      <c r="P20" s="82"/>
      <c r="Q20" s="88">
        <f>QUARTILE(Master_Sheet!K8:K27,1)</f>
        <v>190.65337442499998</v>
      </c>
      <c r="R20" s="88">
        <f>MEDIAN(Master_Sheet!K8:K27)</f>
        <v>238.75</v>
      </c>
      <c r="S20" s="88">
        <f>SUMIFS(Master_Sheet!$K$8:$K$27,Master_Sheet!$K$8:$K$27,"&gt;="&amp;$Q20,Master_Sheet!$K$8:$K$27,"&lt;="&amp;$R20)</f>
        <v>1050.9711659</v>
      </c>
      <c r="T20" s="88">
        <f>SUMIFS(Master_Sheet!$N$8:$N$27,Master_Sheet!$K$8:$K$27,"&gt;="&amp;$Q20,Master_Sheet!$K$8:$K$27,"&lt;="&amp;$R20)</f>
        <v>2373.9999999999995</v>
      </c>
      <c r="U20" s="148">
        <f t="shared" ref="U20:U22" si="3">T20/S20</f>
        <v>2.2588631134965751</v>
      </c>
      <c r="V20" s="89" cm="1">
        <f t="array" ref="V20">SUMPRODUCT((Master_Sheet!$K$8:$K$27&gt;=$Q20)*(Master_Sheet!$K$8:$K$27&lt;=$R20)*(Master_Sheet!$P$8:$P$27)*(Master_Sheet!$K$8:$K$27))/SUMIFS(Master_Sheet!$K$8:$K$27,Master_Sheet!$K$8:$K$27,"&gt;="&amp;$Q20,Master_Sheet!$K$8:$K$27,"&lt;="&amp;$R20)</f>
        <v>0.18478875165785835</v>
      </c>
      <c r="W20" s="135"/>
      <c r="X20" s="88" t="str">
        <f t="shared" si="1"/>
        <v>$191 - $239M</v>
      </c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</row>
    <row r="21" spans="2:36">
      <c r="B21" s="68"/>
      <c r="C21" s="141" t="str">
        <v>NexaMed Labs</v>
      </c>
      <c r="D21" s="76" t="str">
        <f t="shared" si="2"/>
        <v>Healthcare</v>
      </c>
      <c r="E21" s="116">
        <f t="shared" si="2"/>
        <v>43204</v>
      </c>
      <c r="F21" s="116">
        <f t="shared" si="2"/>
        <v>45261</v>
      </c>
      <c r="G21" s="75">
        <f t="shared" si="2"/>
        <v>225</v>
      </c>
      <c r="H21" s="75">
        <f t="shared" si="2"/>
        <v>655</v>
      </c>
      <c r="I21" s="75">
        <f t="shared" si="2"/>
        <v>0</v>
      </c>
      <c r="J21" s="75">
        <f t="shared" si="2"/>
        <v>655</v>
      </c>
      <c r="K21" s="130">
        <f t="shared" si="2"/>
        <v>2.911111111111111</v>
      </c>
      <c r="L21" s="77">
        <f t="shared" si="2"/>
        <v>0.20897672106075738</v>
      </c>
      <c r="M21" s="89"/>
      <c r="P21" s="82"/>
      <c r="Q21" s="88">
        <f>MIN(Master_Sheet!K8:K27)</f>
        <v>115</v>
      </c>
      <c r="R21" s="88">
        <f>QUARTILE(Master_Sheet!K8:K27,1)</f>
        <v>190.65337442499998</v>
      </c>
      <c r="S21" s="88">
        <f>SUMIFS(Master_Sheet!$K$8:$K$27,Master_Sheet!$K$8:$K$27,"&gt;="&amp;$Q21,Master_Sheet!$K$8:$K$27,"&lt;="&amp;$R21)</f>
        <v>767.67438031999995</v>
      </c>
      <c r="T21" s="144">
        <f>SUMIFS(Master_Sheet!$N$8:$N$27,Master_Sheet!$K$8:$K$27,"&gt;="&amp;$Q21,Master_Sheet!$K$8:$K$27,"&lt;="&amp;$R21)</f>
        <v>1314.5</v>
      </c>
      <c r="U21" s="167">
        <f t="shared" si="3"/>
        <v>1.7123145355613658</v>
      </c>
      <c r="V21" s="168" cm="1">
        <f t="array" ref="V21">SUMPRODUCT((Master_Sheet!$K$8:$K$27&gt;=$Q21)*(Master_Sheet!$K$8:$K$27&lt;=$R21)*(Master_Sheet!$P$8:$P$27)*(Master_Sheet!$K$8:$K$27))/SUMIFS(Master_Sheet!$K$8:$K$27,Master_Sheet!$K$8:$K$27,"&gt;="&amp;$Q21,Master_Sheet!$K$8:$K$27,"&lt;="&amp;$R21)</f>
        <v>0.18072286721709074</v>
      </c>
      <c r="W21" s="88"/>
      <c r="X21" s="88" t="str">
        <f t="shared" si="1"/>
        <v>$115 - $191M</v>
      </c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2"/>
    </row>
    <row r="22" spans="2:36">
      <c r="B22" s="68"/>
      <c r="C22" s="141" t="str">
        <v xml:space="preserve">HealSpark Therapeutics </v>
      </c>
      <c r="D22" s="76" t="str">
        <f t="shared" si="2"/>
        <v>Healthcare</v>
      </c>
      <c r="E22" s="116">
        <f t="shared" si="2"/>
        <v>43405</v>
      </c>
      <c r="F22" s="116">
        <f t="shared" si="2"/>
        <v>44681</v>
      </c>
      <c r="G22" s="75">
        <f t="shared" si="2"/>
        <v>218</v>
      </c>
      <c r="H22" s="75">
        <f t="shared" si="2"/>
        <v>395.6</v>
      </c>
      <c r="I22" s="75">
        <f t="shared" si="2"/>
        <v>0</v>
      </c>
      <c r="J22" s="75">
        <f t="shared" si="2"/>
        <v>395.6</v>
      </c>
      <c r="K22" s="130">
        <f t="shared" si="2"/>
        <v>1.8146788990825689</v>
      </c>
      <c r="L22" s="77">
        <f t="shared" si="2"/>
        <v>0.18577292099882348</v>
      </c>
      <c r="M22" s="89"/>
      <c r="P22" s="82"/>
      <c r="Q22" s="166">
        <f>MIN(Master_Sheet!K8:K27)</f>
        <v>115</v>
      </c>
      <c r="R22" s="166">
        <f>MAX(Master_Sheet!K8:K27)</f>
        <v>450</v>
      </c>
      <c r="S22" s="166">
        <f>SUM(S18:S21)</f>
        <v>5311.0378262700006</v>
      </c>
      <c r="T22" s="74">
        <f>SUM(T18:T21)</f>
        <v>10663.699999999999</v>
      </c>
      <c r="U22" s="149">
        <f t="shared" si="3"/>
        <v>2.0078373283756541</v>
      </c>
      <c r="V22" s="93" cm="1">
        <f t="array" ref="V22">SUMPRODUCT((Master_Sheet!$K$8:$K$27&gt;=$Q22)*(Master_Sheet!$K$8:$K$27&lt;=$R22)*(Master_Sheet!$P$8:$P$27)*(Master_Sheet!$K$8:$K$27))/SUMIFS(Master_Sheet!$K$8:$K$27,Master_Sheet!$K$8:$K$27,"&gt;="&amp;$Q22,Master_Sheet!$K$8:$K$27,"&lt;="&amp;$R22)</f>
        <v>0.21603418001533442</v>
      </c>
      <c r="W22" s="88"/>
      <c r="X22" s="88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82"/>
      <c r="AJ22" s="82"/>
    </row>
    <row r="23" spans="2:36">
      <c r="B23" s="68"/>
      <c r="C23" s="117" t="s">
        <v>98</v>
      </c>
      <c r="D23" s="118"/>
      <c r="E23" s="119"/>
      <c r="F23" s="119"/>
      <c r="G23" s="120">
        <f>SUM(G20:G22)</f>
        <v>766.5</v>
      </c>
      <c r="H23" s="120">
        <f>SUM(H20:H22)</f>
        <v>2882.6</v>
      </c>
      <c r="I23" s="120">
        <f>SUM(I20:I22)</f>
        <v>0</v>
      </c>
      <c r="J23" s="120">
        <f>SUM(J20:J22)</f>
        <v>2882.6</v>
      </c>
      <c r="K23" s="128">
        <f>J23/G23</f>
        <v>3.7607305936073057</v>
      </c>
      <c r="L23" s="121">
        <f>SUMPRODUCT(G20:G22,L20:L22)/G23</f>
        <v>0.29122301894267416</v>
      </c>
      <c r="M23" s="93"/>
      <c r="P23" s="82"/>
      <c r="Q23" s="82"/>
      <c r="R23" s="148"/>
      <c r="S23" s="135"/>
      <c r="T23" s="135"/>
      <c r="U23" s="148"/>
      <c r="V23" s="135"/>
      <c r="W23" s="135"/>
      <c r="X23" s="88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</row>
    <row r="24" spans="2:36">
      <c r="B24" s="68"/>
      <c r="C24" s="69"/>
      <c r="D24" s="70"/>
      <c r="E24" s="71"/>
      <c r="F24" s="71"/>
      <c r="G24" s="71"/>
      <c r="H24" s="71"/>
      <c r="I24" s="71"/>
      <c r="J24" s="71"/>
      <c r="K24" s="71"/>
      <c r="L24" s="71"/>
      <c r="M24" s="71"/>
      <c r="P24" s="82"/>
      <c r="Q24" s="99" t="s">
        <v>183</v>
      </c>
      <c r="R24" s="82"/>
      <c r="S24" s="82"/>
      <c r="T24" s="90"/>
      <c r="U24" s="90"/>
      <c r="V24" s="89"/>
      <c r="W24" s="88"/>
      <c r="X24" s="88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</row>
    <row r="25" spans="2:36">
      <c r="B25" s="68"/>
      <c r="C25" s="37" t="s">
        <v>89</v>
      </c>
      <c r="D25" s="37"/>
      <c r="E25" s="37"/>
      <c r="F25" s="37"/>
      <c r="G25" s="37"/>
      <c r="H25" s="37"/>
      <c r="I25" s="37"/>
      <c r="J25" s="37"/>
      <c r="K25" s="37"/>
      <c r="L25" s="37"/>
      <c r="M25" s="71"/>
      <c r="P25" s="82"/>
      <c r="Q25" s="82"/>
      <c r="R25" s="82"/>
      <c r="S25" s="82"/>
      <c r="T25" s="90"/>
      <c r="U25" s="90"/>
      <c r="V25" s="88"/>
      <c r="W25" s="88"/>
      <c r="X25" s="88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</row>
    <row r="26" spans="2:36">
      <c r="B26" s="68"/>
      <c r="C26" s="10" t="s">
        <v>105</v>
      </c>
      <c r="D26" s="12" t="s">
        <v>86</v>
      </c>
      <c r="E26" s="12" t="s">
        <v>111</v>
      </c>
      <c r="F26" s="12" t="s">
        <v>112</v>
      </c>
      <c r="G26" s="12" t="s">
        <v>113</v>
      </c>
      <c r="H26" s="12" t="s">
        <v>87</v>
      </c>
      <c r="I26" s="12" t="s">
        <v>89</v>
      </c>
      <c r="J26" s="12" t="s">
        <v>114</v>
      </c>
      <c r="K26" s="12" t="s">
        <v>97</v>
      </c>
      <c r="L26" s="12" t="s">
        <v>96</v>
      </c>
      <c r="M26" s="71"/>
      <c r="P26" s="82"/>
      <c r="Q26" s="109" t="s">
        <v>86</v>
      </c>
      <c r="R26" s="109" t="s">
        <v>129</v>
      </c>
      <c r="S26" s="109" t="s">
        <v>114</v>
      </c>
      <c r="T26" s="109" t="s">
        <v>97</v>
      </c>
      <c r="U26" s="109" t="s">
        <v>96</v>
      </c>
      <c r="V26" s="88"/>
      <c r="W26" s="88"/>
      <c r="X26" s="88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</row>
    <row r="27" spans="2:36">
      <c r="B27" s="68"/>
      <c r="C27" s="141" t="str" cm="1">
        <f t="array" ref="C27">_xlfn._xlws.FILTER(Portco_Names,(Master_Sheet!$F$7:$F$27=C$16)*(Master_Sheet!$G$7:$G$27=C$25),"N/A")</f>
        <v>Zenith Paws</v>
      </c>
      <c r="D27" s="87" t="str">
        <f t="shared" ref="D27:L27" si="4">INDEX(Portco_Data,MATCH($C27,Portco_Names,0),MATCH(D$19,Portco_Fields,0))</f>
        <v>Consumer</v>
      </c>
      <c r="E27" s="116">
        <f t="shared" si="4"/>
        <v>44050</v>
      </c>
      <c r="F27" s="116">
        <f t="shared" si="4"/>
        <v>46000</v>
      </c>
      <c r="G27" s="135">
        <f t="shared" si="4"/>
        <v>115</v>
      </c>
      <c r="H27" s="135">
        <f t="shared" si="4"/>
        <v>0</v>
      </c>
      <c r="I27" s="135">
        <f t="shared" si="4"/>
        <v>253.1</v>
      </c>
      <c r="J27" s="135">
        <f t="shared" si="4"/>
        <v>253.1</v>
      </c>
      <c r="K27" s="127">
        <f t="shared" si="4"/>
        <v>2.2008695652173911</v>
      </c>
      <c r="L27" s="89">
        <f t="shared" si="4"/>
        <v>0.15922993862453616</v>
      </c>
      <c r="M27" s="71"/>
      <c r="P27" s="82"/>
      <c r="Q27" s="141" t="str" cm="1">
        <f t="array" ref="Q27:Q28">_xlfn.UNIQUE(_xlfn._xlws.FILTER(Master_Sheet!G:G,(Master_Sheet!G:G&lt;&gt;"Status")*(Master_Sheet!G:G&lt;&gt;"")))</f>
        <v>Realized</v>
      </c>
      <c r="R27" s="135">
        <f>SUMIF(Master_Sheet!$G:$G,$Q27,Master_Sheet!$K:$K)</f>
        <v>1794</v>
      </c>
      <c r="S27" s="135">
        <f>SUMIF(Master_Sheet!$G:$G,$Q27,Master_Sheet!$N:$N)</f>
        <v>5386.9000000000015</v>
      </c>
      <c r="T27" s="148">
        <f>S27/R27</f>
        <v>3.0027313266443709</v>
      </c>
      <c r="U27" s="89" cm="1">
        <f t="array" ref="U27">SUMPRODUCT((Master_Sheet!$G$8:$G$27=$Q27)*(Master_Sheet!$P$8:$P$27)*(Master_Sheet!$K$8:$K$27))/SUMIF(Master_Sheet!$G$8:$G$27,$Q27,Master_Sheet!$K$8:$K$27)</f>
        <v>0.28776289372853575</v>
      </c>
      <c r="V27" s="88"/>
      <c r="W27" s="88"/>
      <c r="X27" s="88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2"/>
    </row>
    <row r="28" spans="2:36">
      <c r="B28" s="68"/>
      <c r="C28" s="117" t="s">
        <v>98</v>
      </c>
      <c r="D28" s="118"/>
      <c r="E28" s="119"/>
      <c r="F28" s="119"/>
      <c r="G28" s="120">
        <f>SUM(G27:G27)</f>
        <v>115</v>
      </c>
      <c r="H28" s="120">
        <f>SUM(H27:H27)</f>
        <v>0</v>
      </c>
      <c r="I28" s="120">
        <f>SUM(I27:I27)</f>
        <v>253.1</v>
      </c>
      <c r="J28" s="120">
        <f>SUM(J27:J27)</f>
        <v>253.1</v>
      </c>
      <c r="K28" s="128">
        <f>J28/G28</f>
        <v>2.2008695652173911</v>
      </c>
      <c r="L28" s="121">
        <f>SUMPRODUCT(G27:G27,L27:L27)/G28</f>
        <v>0.15922993862453619</v>
      </c>
      <c r="M28" s="71"/>
      <c r="P28" s="82"/>
      <c r="Q28" s="141" t="str">
        <v>Unrealized</v>
      </c>
      <c r="R28" s="75">
        <f>SUMIF(Master_Sheet!$G:$G,$Q28,Master_Sheet!$K:$K)</f>
        <v>3517.0378262700001</v>
      </c>
      <c r="S28" s="75">
        <f>SUMIF(Master_Sheet!$G:$G,$Q28,Master_Sheet!$N:$N)</f>
        <v>5276.8000000000011</v>
      </c>
      <c r="T28" s="167">
        <f t="shared" ref="T28" si="5">S28/R28</f>
        <v>1.5003534965093963</v>
      </c>
      <c r="U28" s="168" cm="1">
        <f t="array" ref="U28">SUMPRODUCT((Master_Sheet!$G$8:$G$27=$Q28)*(Master_Sheet!$P$8:$P$27)*(Master_Sheet!$K$8:$K$27))/SUMIF(Master_Sheet!$G$8:$G$27,$Q28,Master_Sheet!$K$8:$K$27)</f>
        <v>0.1794461992320977</v>
      </c>
      <c r="V28" s="97"/>
      <c r="W28" s="97"/>
      <c r="X28" s="88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</row>
    <row r="29" spans="2:36">
      <c r="B29" s="68"/>
      <c r="C29" s="69"/>
      <c r="D29" s="70"/>
      <c r="E29" s="71"/>
      <c r="F29" s="71"/>
      <c r="G29" s="71"/>
      <c r="H29" s="71"/>
      <c r="I29" s="71"/>
      <c r="J29" s="71"/>
      <c r="K29" s="71"/>
      <c r="L29" s="71"/>
      <c r="M29" s="71"/>
      <c r="P29" s="82"/>
      <c r="Q29" s="21" t="s">
        <v>98</v>
      </c>
      <c r="R29" s="120">
        <f>SUM(R27:R28)</f>
        <v>5311.0378262699996</v>
      </c>
      <c r="S29" s="120">
        <f>SUM(S27:S28)</f>
        <v>10663.700000000003</v>
      </c>
      <c r="T29" s="149">
        <f>S29/R29</f>
        <v>2.007837328375655</v>
      </c>
      <c r="U29" s="93">
        <f>SUMPRODUCT(Master_Sheet!$P$8:$P$27,Master_Sheet!$K$8:$K$27)/Track_Record!R29</f>
        <v>0.21603418001533448</v>
      </c>
      <c r="V29" s="127"/>
      <c r="W29" s="127"/>
      <c r="X29" s="88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</row>
    <row r="30" spans="2:36">
      <c r="B30" s="68"/>
      <c r="C30" s="123" t="s">
        <v>115</v>
      </c>
      <c r="D30" s="124"/>
      <c r="E30" s="125"/>
      <c r="F30" s="125"/>
      <c r="G30" s="136">
        <f>G23+G28</f>
        <v>881.5</v>
      </c>
      <c r="H30" s="136">
        <f>H23+H28</f>
        <v>2882.6</v>
      </c>
      <c r="I30" s="136">
        <f>I23+I28</f>
        <v>253.1</v>
      </c>
      <c r="J30" s="136">
        <f>J23+J28</f>
        <v>3135.7</v>
      </c>
      <c r="K30" s="131">
        <f>J30/G30</f>
        <v>3.55723199092456</v>
      </c>
      <c r="L30" s="126">
        <f>(SUMPRODUCT(G20:G22,L20:L22)+SUMPRODUCT(G27:G27,L27:L27))/G30</f>
        <v>0.27400327505545258</v>
      </c>
      <c r="M30" s="93"/>
      <c r="P30" s="82"/>
      <c r="V30" s="127"/>
      <c r="W30" s="127"/>
      <c r="X30" s="88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</row>
    <row r="31" spans="2:36">
      <c r="B31" s="68"/>
      <c r="C31" s="69"/>
      <c r="D31" s="70"/>
      <c r="E31" s="71"/>
      <c r="F31" s="71"/>
      <c r="G31" s="71"/>
      <c r="H31" s="71"/>
      <c r="I31" s="71"/>
      <c r="J31" s="71"/>
      <c r="K31" s="71"/>
      <c r="L31" s="71"/>
      <c r="M31" s="71"/>
      <c r="P31" s="82"/>
      <c r="V31" s="127"/>
      <c r="W31" s="127"/>
      <c r="X31" s="88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  <c r="AJ31" s="82"/>
    </row>
    <row r="32" spans="2:36">
      <c r="B32" s="68"/>
      <c r="C32" s="92" t="s">
        <v>102</v>
      </c>
      <c r="D32" s="70"/>
      <c r="E32" s="71"/>
      <c r="F32" s="71"/>
      <c r="G32" s="71"/>
      <c r="H32" s="71"/>
      <c r="I32" s="71"/>
      <c r="J32" s="71"/>
      <c r="K32" s="71"/>
      <c r="L32" s="71"/>
      <c r="M32" s="71"/>
      <c r="P32" s="82"/>
      <c r="V32" s="88"/>
      <c r="W32" s="88"/>
      <c r="X32" s="88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</row>
    <row r="33" spans="2:36">
      <c r="B33" s="68"/>
      <c r="C33" s="69"/>
      <c r="D33" s="70"/>
      <c r="E33" s="71"/>
      <c r="F33" s="71"/>
      <c r="G33" s="71"/>
      <c r="H33" s="71"/>
      <c r="I33" s="71"/>
      <c r="J33" s="71"/>
      <c r="K33" s="71"/>
      <c r="L33" s="71"/>
      <c r="M33" s="71"/>
      <c r="P33" s="82"/>
      <c r="Q33" s="82"/>
      <c r="R33" s="82"/>
      <c r="S33" s="90"/>
      <c r="T33" s="65"/>
      <c r="U33" s="88"/>
      <c r="V33" s="88"/>
      <c r="W33" s="88"/>
      <c r="X33" s="88"/>
      <c r="Y33" s="82"/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2"/>
    </row>
    <row r="34" spans="2:36">
      <c r="B34" s="68"/>
      <c r="C34" s="37" t="str">
        <f>$C$18</f>
        <v>Realized</v>
      </c>
      <c r="D34" s="37"/>
      <c r="E34" s="37"/>
      <c r="F34" s="37"/>
      <c r="G34" s="37"/>
      <c r="H34" s="37"/>
      <c r="I34" s="37"/>
      <c r="J34" s="37"/>
      <c r="K34" s="37"/>
      <c r="L34" s="37"/>
      <c r="M34" s="140"/>
      <c r="P34" s="82"/>
      <c r="Q34" s="82"/>
      <c r="R34" s="82"/>
      <c r="S34" s="90"/>
      <c r="T34" s="65"/>
      <c r="U34" s="88"/>
      <c r="V34" s="88"/>
      <c r="W34" s="88"/>
      <c r="X34" s="88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</row>
    <row r="35" spans="2:36">
      <c r="B35" s="68"/>
      <c r="C35" s="10" t="str">
        <f>$C$19</f>
        <v>Company Name</v>
      </c>
      <c r="D35" s="12" t="str">
        <f>$D$19</f>
        <v>Industry</v>
      </c>
      <c r="E35" s="12" t="str">
        <f>$E$19</f>
        <v>Inv. Date</v>
      </c>
      <c r="F35" s="12" t="str">
        <f>$F$19</f>
        <v>Exit Date</v>
      </c>
      <c r="G35" s="12" t="str">
        <f>$G$19</f>
        <v>Inv. Capital</v>
      </c>
      <c r="H35" s="12" t="str">
        <f>$H$19</f>
        <v>Realized</v>
      </c>
      <c r="I35" s="12" t="str">
        <f>$I$19</f>
        <v>Unrealized</v>
      </c>
      <c r="J35" s="12" t="str">
        <f>$J$19</f>
        <v>Total Value</v>
      </c>
      <c r="K35" s="12" t="str">
        <f>$K$19</f>
        <v>Gross MOIC</v>
      </c>
      <c r="L35" s="12" t="str">
        <f>$L$19</f>
        <v>Gross IRR</v>
      </c>
      <c r="M35" s="14"/>
      <c r="P35" s="82"/>
      <c r="Q35" s="97"/>
      <c r="R35" s="97"/>
      <c r="S35" s="97"/>
      <c r="T35" s="97"/>
      <c r="U35" s="97"/>
      <c r="V35" s="97"/>
      <c r="W35" s="88"/>
      <c r="X35" s="88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</row>
    <row r="36" spans="2:36">
      <c r="B36" s="68"/>
      <c r="C36" s="158" t="str" cm="1">
        <f t="array" ref="C36:C39">_xlfn._xlws.FILTER(Portco_Names,(Master_Sheet!$F$7:$F$27=C$32)*(Master_Sheet!$G$7:$G$27=C$34),"N/A")</f>
        <v>IgniteHub</v>
      </c>
      <c r="D36" s="159" t="str">
        <f t="shared" ref="D36:L39" si="6">INDEX(Portco_Data,MATCH($C36,Portco_Names,0),MATCH(D$35,Portco_Fields,0))</f>
        <v>Consumer</v>
      </c>
      <c r="E36" s="160">
        <f t="shared" si="6"/>
        <v>44352</v>
      </c>
      <c r="F36" s="160">
        <f t="shared" si="6"/>
        <v>45611</v>
      </c>
      <c r="G36" s="161">
        <f t="shared" si="6"/>
        <v>400</v>
      </c>
      <c r="H36" s="161">
        <f t="shared" si="6"/>
        <v>1350</v>
      </c>
      <c r="I36" s="161">
        <f t="shared" si="6"/>
        <v>0</v>
      </c>
      <c r="J36" s="161">
        <f t="shared" si="6"/>
        <v>1350</v>
      </c>
      <c r="K36" s="162">
        <f t="shared" si="6"/>
        <v>3.375</v>
      </c>
      <c r="L36" s="163">
        <f t="shared" si="6"/>
        <v>0.42354043068825309</v>
      </c>
      <c r="M36" s="77"/>
      <c r="P36" s="82"/>
      <c r="Q36" s="141"/>
      <c r="R36" s="138"/>
      <c r="S36" s="138"/>
      <c r="T36" s="138"/>
      <c r="U36" s="138"/>
      <c r="V36" s="138"/>
      <c r="W36" s="88"/>
      <c r="X36" s="88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</row>
    <row r="37" spans="2:36">
      <c r="B37" s="68"/>
      <c r="C37" s="141" t="str">
        <v>FluxEdge Financial</v>
      </c>
      <c r="D37" s="76" t="str">
        <f t="shared" si="6"/>
        <v>Business Services</v>
      </c>
      <c r="E37" s="116">
        <f t="shared" si="6"/>
        <v>44227</v>
      </c>
      <c r="F37" s="116">
        <f t="shared" si="6"/>
        <v>45869</v>
      </c>
      <c r="G37" s="75">
        <f t="shared" si="6"/>
        <v>200</v>
      </c>
      <c r="H37" s="75">
        <f t="shared" si="6"/>
        <v>421.1</v>
      </c>
      <c r="I37" s="75">
        <f t="shared" si="6"/>
        <v>0</v>
      </c>
      <c r="J37" s="75">
        <f t="shared" si="6"/>
        <v>421.1</v>
      </c>
      <c r="K37" s="130">
        <f t="shared" si="6"/>
        <v>2.1055000000000001</v>
      </c>
      <c r="L37" s="77">
        <f t="shared" si="6"/>
        <v>0.17993129859014001</v>
      </c>
      <c r="M37" s="77"/>
      <c r="P37" s="82"/>
      <c r="Q37" s="141"/>
      <c r="R37" s="138"/>
      <c r="S37" s="138"/>
      <c r="T37" s="138"/>
      <c r="U37" s="138"/>
      <c r="V37" s="138"/>
      <c r="W37" s="88"/>
      <c r="X37" s="88"/>
      <c r="Y37" s="82"/>
      <c r="Z37" s="82"/>
      <c r="AA37" s="82"/>
      <c r="AB37" s="82"/>
      <c r="AC37" s="82"/>
      <c r="AD37" s="82"/>
      <c r="AE37" s="82"/>
      <c r="AF37" s="82"/>
      <c r="AG37" s="82"/>
      <c r="AH37" s="82"/>
      <c r="AI37" s="82"/>
      <c r="AJ37" s="82"/>
    </row>
    <row r="38" spans="2:36">
      <c r="B38" s="68"/>
      <c r="C38" s="141" t="str">
        <v>Crayoler</v>
      </c>
      <c r="D38" s="76" t="str">
        <f t="shared" si="6"/>
        <v>Business Services</v>
      </c>
      <c r="E38" s="116">
        <f t="shared" si="6"/>
        <v>44920.208333333336</v>
      </c>
      <c r="F38" s="116">
        <f t="shared" si="6"/>
        <v>45626</v>
      </c>
      <c r="G38" s="75">
        <f t="shared" si="6"/>
        <v>175</v>
      </c>
      <c r="H38" s="75">
        <f t="shared" si="6"/>
        <v>235.1</v>
      </c>
      <c r="I38" s="75">
        <f t="shared" si="6"/>
        <v>0</v>
      </c>
      <c r="J38" s="75">
        <f t="shared" si="6"/>
        <v>235.1</v>
      </c>
      <c r="K38" s="130">
        <f t="shared" si="6"/>
        <v>1.3434285714285714</v>
      </c>
      <c r="L38" s="77">
        <f t="shared" si="6"/>
        <v>0.16523442813219225</v>
      </c>
      <c r="M38" s="77"/>
      <c r="P38" s="82"/>
      <c r="Q38" s="141"/>
      <c r="R38" s="153"/>
      <c r="S38" s="153"/>
      <c r="T38" s="153"/>
      <c r="U38" s="153"/>
      <c r="V38" s="153"/>
      <c r="W38" s="88"/>
      <c r="X38" s="88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2"/>
    </row>
    <row r="39" spans="2:36">
      <c r="B39" s="68"/>
      <c r="C39" s="141" t="str">
        <v>Zenith Pharma</v>
      </c>
      <c r="D39" s="76" t="str">
        <f t="shared" si="6"/>
        <v>Healthcare</v>
      </c>
      <c r="E39" s="116">
        <f t="shared" si="6"/>
        <v>44742</v>
      </c>
      <c r="F39" s="116">
        <f t="shared" si="6"/>
        <v>45930</v>
      </c>
      <c r="G39" s="75">
        <f t="shared" si="6"/>
        <v>252.5</v>
      </c>
      <c r="H39" s="75">
        <f t="shared" si="6"/>
        <v>498.1</v>
      </c>
      <c r="I39" s="75">
        <f t="shared" si="6"/>
        <v>0</v>
      </c>
      <c r="J39" s="75">
        <f t="shared" si="6"/>
        <v>498.1</v>
      </c>
      <c r="K39" s="130">
        <f t="shared" si="6"/>
        <v>1.9726732673267329</v>
      </c>
      <c r="L39" s="77">
        <f t="shared" si="6"/>
        <v>0.23249794222958609</v>
      </c>
      <c r="M39" s="77"/>
      <c r="P39" s="82"/>
      <c r="Q39" s="97"/>
      <c r="R39" s="138"/>
      <c r="S39" s="138"/>
      <c r="T39" s="138"/>
      <c r="U39" s="138"/>
      <c r="W39" s="88"/>
      <c r="X39" s="88"/>
      <c r="Y39" s="82"/>
      <c r="Z39" s="82"/>
      <c r="AA39" s="82"/>
      <c r="AB39" s="82"/>
      <c r="AC39" s="82"/>
      <c r="AD39" s="82"/>
      <c r="AE39" s="82"/>
      <c r="AF39" s="82"/>
      <c r="AG39" s="82"/>
      <c r="AH39" s="82"/>
      <c r="AI39" s="82"/>
      <c r="AJ39" s="82"/>
    </row>
    <row r="40" spans="2:36">
      <c r="B40" s="68"/>
      <c r="C40" s="117" t="s">
        <v>98</v>
      </c>
      <c r="D40" s="156"/>
      <c r="E40" s="157"/>
      <c r="F40" s="157"/>
      <c r="G40" s="120">
        <f>SUM(G36:G39)</f>
        <v>1027.5</v>
      </c>
      <c r="H40" s="120">
        <f>SUM(H36:H39)</f>
        <v>2504.2999999999997</v>
      </c>
      <c r="I40" s="120">
        <f>SUM(I36:I39)</f>
        <v>0</v>
      </c>
      <c r="J40" s="120">
        <f>SUM(J36:J39)</f>
        <v>2504.2999999999997</v>
      </c>
      <c r="K40" s="128">
        <f>J40/G40</f>
        <v>2.4372749391727493</v>
      </c>
      <c r="L40" s="121">
        <f>SUMPRODUCT(G36:G39,L36:L39)/G40</f>
        <v>0.2851816908315653</v>
      </c>
      <c r="M40" s="93"/>
      <c r="P40" s="82"/>
      <c r="Q40" s="82"/>
      <c r="R40" s="82"/>
      <c r="S40" s="90"/>
      <c r="T40" s="65"/>
      <c r="U40" s="88"/>
      <c r="V40" s="88"/>
      <c r="W40" s="88"/>
      <c r="X40" s="88"/>
      <c r="Y40" s="82"/>
      <c r="Z40" s="82"/>
      <c r="AA40" s="82"/>
      <c r="AB40" s="82"/>
      <c r="AC40" s="82"/>
      <c r="AD40" s="82"/>
      <c r="AE40" s="82"/>
      <c r="AF40" s="82"/>
      <c r="AG40" s="82"/>
      <c r="AH40" s="82"/>
      <c r="AI40" s="82"/>
      <c r="AJ40" s="82"/>
    </row>
    <row r="41" spans="2:36">
      <c r="B41" s="68"/>
      <c r="C41" s="1"/>
      <c r="D41" s="14"/>
      <c r="E41" s="14"/>
      <c r="F41" s="14"/>
      <c r="G41" s="14"/>
      <c r="H41" s="14"/>
      <c r="I41" s="14"/>
      <c r="J41" s="14"/>
      <c r="K41" s="14"/>
      <c r="L41" s="14"/>
      <c r="M41" s="14"/>
      <c r="P41" s="82"/>
      <c r="Q41" s="99"/>
      <c r="R41" s="82"/>
      <c r="S41" s="90"/>
      <c r="T41" s="65"/>
      <c r="U41" s="88"/>
      <c r="V41" s="88"/>
      <c r="W41" s="88"/>
      <c r="X41" s="88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</row>
    <row r="42" spans="2:36">
      <c r="B42" s="68"/>
      <c r="C42" s="37" t="str">
        <f>$C$25</f>
        <v>Unrealized</v>
      </c>
      <c r="D42" s="37"/>
      <c r="E42" s="37"/>
      <c r="F42" s="37"/>
      <c r="G42" s="37"/>
      <c r="H42" s="37"/>
      <c r="I42" s="37"/>
      <c r="J42" s="37"/>
      <c r="K42" s="37"/>
      <c r="L42" s="37"/>
      <c r="M42" s="140"/>
      <c r="P42" s="82"/>
      <c r="Q42" s="82"/>
      <c r="R42" s="82"/>
      <c r="S42" s="90"/>
      <c r="T42" s="65"/>
      <c r="U42" s="88"/>
      <c r="V42" s="88"/>
      <c r="W42" s="88"/>
      <c r="X42" s="88"/>
      <c r="Y42" s="82"/>
      <c r="Z42" s="82"/>
      <c r="AA42" s="82"/>
      <c r="AB42" s="82"/>
      <c r="AC42" s="82"/>
      <c r="AD42" s="82"/>
      <c r="AE42" s="82"/>
      <c r="AF42" s="82"/>
      <c r="AG42" s="82"/>
      <c r="AH42" s="82"/>
      <c r="AI42" s="82"/>
      <c r="AJ42" s="82"/>
    </row>
    <row r="43" spans="2:36" ht="15.75" customHeight="1">
      <c r="B43" s="68"/>
      <c r="C43" s="141" t="str" cm="1">
        <f t="array" ref="C43:C46">_xlfn._xlws.FILTER(Portco_Names,(Master_Sheet!$F$7:$F$27=C$32)*(Master_Sheet!$G$7:$G$27=C$42),"N/A")</f>
        <v>Echo Bloom Devices</v>
      </c>
      <c r="D43" s="76" t="str">
        <f t="shared" ref="D43:L46" si="7">INDEX(Portco_Data,MATCH($C43,Portco_Names,0),MATCH(D$35,Portco_Fields,0))</f>
        <v>Healthcare</v>
      </c>
      <c r="E43" s="116">
        <f t="shared" si="7"/>
        <v>44180</v>
      </c>
      <c r="F43" s="116">
        <f t="shared" si="7"/>
        <v>46000</v>
      </c>
      <c r="G43" s="75">
        <f t="shared" si="7"/>
        <v>212.1</v>
      </c>
      <c r="H43" s="75">
        <f t="shared" si="7"/>
        <v>0</v>
      </c>
      <c r="I43" s="75">
        <f t="shared" si="7"/>
        <v>601.20000000000005</v>
      </c>
      <c r="J43" s="75">
        <f t="shared" si="7"/>
        <v>601.20000000000005</v>
      </c>
      <c r="K43" s="130">
        <f t="shared" si="7"/>
        <v>2.8345120226308347</v>
      </c>
      <c r="L43" s="77">
        <f t="shared" si="7"/>
        <v>0.23253233530903872</v>
      </c>
      <c r="M43" s="77"/>
      <c r="P43" s="82"/>
      <c r="Q43" s="95"/>
      <c r="R43" s="95"/>
      <c r="S43" s="95"/>
      <c r="T43" s="95"/>
      <c r="U43" s="95"/>
      <c r="V43" s="95"/>
      <c r="W43" s="88"/>
      <c r="X43" s="88"/>
      <c r="Y43" s="82"/>
      <c r="Z43" s="82"/>
      <c r="AA43" s="82"/>
      <c r="AB43" s="82"/>
      <c r="AC43" s="82"/>
      <c r="AD43" s="82"/>
      <c r="AE43" s="82"/>
      <c r="AF43" s="82"/>
      <c r="AG43" s="82"/>
      <c r="AH43" s="82"/>
      <c r="AI43" s="82"/>
      <c r="AJ43" s="82"/>
    </row>
    <row r="44" spans="2:36" ht="15.75" customHeight="1">
      <c r="B44" s="68"/>
      <c r="C44" s="141" t="str">
        <v>Apex Ledger</v>
      </c>
      <c r="D44" s="76" t="str">
        <f t="shared" si="7"/>
        <v>Business Services</v>
      </c>
      <c r="E44" s="116">
        <f t="shared" si="7"/>
        <v>44484</v>
      </c>
      <c r="F44" s="116">
        <f t="shared" si="7"/>
        <v>46000</v>
      </c>
      <c r="G44" s="75">
        <f t="shared" si="7"/>
        <v>195.87116589999999</v>
      </c>
      <c r="H44" s="75">
        <f t="shared" si="7"/>
        <v>0</v>
      </c>
      <c r="I44" s="75">
        <f t="shared" si="7"/>
        <v>301.10000000000002</v>
      </c>
      <c r="J44" s="75">
        <f t="shared" si="7"/>
        <v>301.10000000000002</v>
      </c>
      <c r="K44" s="130">
        <f t="shared" si="7"/>
        <v>1.5372349402041317</v>
      </c>
      <c r="L44" s="77">
        <f t="shared" si="7"/>
        <v>0.10916881320088101</v>
      </c>
      <c r="M44" s="77"/>
      <c r="P44" s="82"/>
      <c r="Q44" s="141"/>
      <c r="R44" s="138"/>
      <c r="S44" s="138"/>
      <c r="T44" s="138"/>
      <c r="U44" s="138"/>
      <c r="V44" s="138"/>
      <c r="W44" s="88"/>
      <c r="X44" s="88"/>
      <c r="Y44" s="82"/>
      <c r="Z44" s="82"/>
      <c r="AA44" s="82"/>
      <c r="AB44" s="82"/>
      <c r="AC44" s="82"/>
      <c r="AD44" s="82"/>
      <c r="AE44" s="82"/>
      <c r="AF44" s="82"/>
      <c r="AG44" s="82"/>
      <c r="AH44" s="82"/>
      <c r="AI44" s="82"/>
      <c r="AJ44" s="82"/>
    </row>
    <row r="45" spans="2:36" ht="15.75" customHeight="1">
      <c r="B45" s="68"/>
      <c r="C45" s="141" t="str">
        <v>EvoHealth</v>
      </c>
      <c r="D45" s="76" t="str">
        <f t="shared" si="7"/>
        <v>Healthcare</v>
      </c>
      <c r="E45" s="116">
        <f t="shared" si="7"/>
        <v>44896.888888888891</v>
      </c>
      <c r="F45" s="116">
        <f t="shared" si="7"/>
        <v>46000</v>
      </c>
      <c r="G45" s="75">
        <f t="shared" si="7"/>
        <v>168.37438032</v>
      </c>
      <c r="H45" s="75">
        <f t="shared" si="7"/>
        <v>0</v>
      </c>
      <c r="I45" s="75">
        <f t="shared" si="7"/>
        <v>332.1</v>
      </c>
      <c r="J45" s="75">
        <f t="shared" si="7"/>
        <v>332.1</v>
      </c>
      <c r="K45" s="130">
        <f t="shared" si="7"/>
        <v>1.9723903325959395</v>
      </c>
      <c r="L45" s="77">
        <f t="shared" si="7"/>
        <v>0.25201039115054069</v>
      </c>
      <c r="M45" s="77"/>
      <c r="P45" s="82"/>
      <c r="Q45" s="141"/>
      <c r="R45" s="153"/>
      <c r="S45" s="153"/>
      <c r="T45" s="153"/>
      <c r="U45" s="153"/>
      <c r="V45" s="153"/>
      <c r="W45" s="88"/>
      <c r="X45" s="88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</row>
    <row r="46" spans="2:36" ht="15.75" customHeight="1">
      <c r="B46" s="68"/>
      <c r="C46" s="141" t="str">
        <v>Quantum Pulse</v>
      </c>
      <c r="D46" s="76" t="str">
        <f t="shared" si="7"/>
        <v>Healthcare</v>
      </c>
      <c r="E46" s="116">
        <f t="shared" si="7"/>
        <v>44607</v>
      </c>
      <c r="F46" s="116">
        <f t="shared" si="7"/>
        <v>46000</v>
      </c>
      <c r="G46" s="75">
        <f t="shared" si="7"/>
        <v>157</v>
      </c>
      <c r="H46" s="75">
        <f t="shared" si="7"/>
        <v>0</v>
      </c>
      <c r="I46" s="75">
        <f t="shared" si="7"/>
        <v>333.1</v>
      </c>
      <c r="J46" s="75">
        <f t="shared" si="7"/>
        <v>333.1</v>
      </c>
      <c r="K46" s="130">
        <f t="shared" si="7"/>
        <v>2.1216560509554143</v>
      </c>
      <c r="L46" s="77">
        <f t="shared" si="7"/>
        <v>0.21784410397886322</v>
      </c>
      <c r="M46" s="77"/>
      <c r="P46" s="82"/>
      <c r="Q46" s="95"/>
      <c r="R46" s="151"/>
      <c r="S46" s="151"/>
      <c r="T46" s="151"/>
      <c r="U46" s="151"/>
      <c r="V46" s="151"/>
      <c r="W46" s="88"/>
      <c r="X46" s="88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2"/>
    </row>
    <row r="47" spans="2:36">
      <c r="B47" s="68"/>
      <c r="C47" s="117" t="s">
        <v>98</v>
      </c>
      <c r="D47" s="156"/>
      <c r="E47" s="157"/>
      <c r="F47" s="157"/>
      <c r="G47" s="120">
        <f>SUM(G43:G46)</f>
        <v>733.34554621999996</v>
      </c>
      <c r="H47" s="120">
        <f>SUM(H43:H46)</f>
        <v>0</v>
      </c>
      <c r="I47" s="120">
        <f>SUM(I43:I46)</f>
        <v>1567.5</v>
      </c>
      <c r="J47" s="120">
        <f>SUM(J43:J46)</f>
        <v>1567.5</v>
      </c>
      <c r="K47" s="128">
        <f>J47/G47</f>
        <v>2.1374644028038561</v>
      </c>
      <c r="L47" s="121">
        <f>SUMPRODUCT(G43:G46,L43:L46)/G47</f>
        <v>0.2009104024275036</v>
      </c>
      <c r="M47" s="93"/>
      <c r="P47" s="82"/>
      <c r="Q47" s="82"/>
      <c r="R47" s="82"/>
      <c r="S47" s="82"/>
      <c r="T47" s="82"/>
      <c r="U47" s="82"/>
      <c r="V47" s="82"/>
      <c r="W47" s="82"/>
      <c r="X47" s="88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</row>
    <row r="48" spans="2:36">
      <c r="B48" s="68"/>
      <c r="C48" s="86"/>
      <c r="D48" s="95"/>
      <c r="E48" s="96"/>
      <c r="F48" s="96"/>
      <c r="G48" s="96"/>
      <c r="H48" s="96"/>
      <c r="I48" s="96"/>
      <c r="J48" s="96"/>
      <c r="K48" s="96"/>
      <c r="L48" s="96"/>
      <c r="M48" s="96"/>
      <c r="P48" s="82"/>
      <c r="Q48" s="82"/>
      <c r="R48" s="82"/>
      <c r="S48" s="82"/>
      <c r="T48" s="82"/>
      <c r="U48" s="82"/>
      <c r="V48" s="82"/>
      <c r="W48" s="82"/>
      <c r="X48" s="88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</row>
    <row r="49" spans="2:36" s="82" customFormat="1">
      <c r="B49" s="92"/>
      <c r="C49" s="123" t="s">
        <v>115</v>
      </c>
      <c r="D49" s="124"/>
      <c r="E49" s="125"/>
      <c r="F49" s="125"/>
      <c r="G49" s="136">
        <f>G40+G47</f>
        <v>1760.84554622</v>
      </c>
      <c r="H49" s="136">
        <f>H40+H47</f>
        <v>2504.2999999999997</v>
      </c>
      <c r="I49" s="136">
        <f>I40+I47</f>
        <v>1567.5</v>
      </c>
      <c r="J49" s="136">
        <f>J40+J47</f>
        <v>4071.7999999999997</v>
      </c>
      <c r="K49" s="131">
        <f>J49/G49</f>
        <v>2.3124117891776006</v>
      </c>
      <c r="L49" s="126">
        <f>(SUMPRODUCT(G36:G39,L36:L39)+SUMPRODUCT(G43:G46,L43:L46))/G49</f>
        <v>0.25008493055182041</v>
      </c>
      <c r="M49" s="93"/>
      <c r="X49" s="88"/>
    </row>
    <row r="50" spans="2:36" s="82" customFormat="1">
      <c r="B50" s="92"/>
      <c r="C50" s="94"/>
      <c r="D50" s="95"/>
      <c r="E50" s="96"/>
      <c r="F50" s="96"/>
      <c r="G50" s="74"/>
      <c r="H50" s="74"/>
      <c r="I50" s="74"/>
      <c r="J50" s="74"/>
      <c r="K50" s="74"/>
      <c r="L50" s="74"/>
      <c r="M50" s="74"/>
      <c r="X50" s="88"/>
    </row>
    <row r="51" spans="2:36" s="82" customFormat="1">
      <c r="B51" s="92"/>
      <c r="C51" s="92" t="s">
        <v>103</v>
      </c>
      <c r="D51" s="97"/>
      <c r="E51" s="98"/>
      <c r="F51" s="98"/>
      <c r="G51" s="88"/>
      <c r="H51" s="88"/>
      <c r="I51" s="88"/>
      <c r="J51" s="88"/>
      <c r="K51" s="88"/>
      <c r="L51" s="88"/>
      <c r="M51" s="74"/>
      <c r="X51" s="88"/>
    </row>
    <row r="52" spans="2:36" s="82" customFormat="1">
      <c r="B52" s="92"/>
      <c r="C52" s="86"/>
      <c r="D52" s="97"/>
      <c r="E52" s="98"/>
      <c r="F52" s="98"/>
      <c r="G52" s="88"/>
      <c r="H52" s="88"/>
      <c r="I52" s="88"/>
      <c r="J52" s="88"/>
      <c r="K52" s="88"/>
      <c r="L52" s="88"/>
      <c r="M52" s="74"/>
      <c r="X52" s="88"/>
    </row>
    <row r="53" spans="2:36" s="82" customFormat="1">
      <c r="B53" s="92"/>
      <c r="C53" s="37" t="str">
        <f>$C$25</f>
        <v>Unrealized</v>
      </c>
      <c r="D53" s="37"/>
      <c r="E53" s="37"/>
      <c r="F53" s="37"/>
      <c r="G53" s="37"/>
      <c r="H53" s="37"/>
      <c r="I53" s="37"/>
      <c r="J53" s="37"/>
      <c r="K53" s="37"/>
      <c r="L53" s="37"/>
      <c r="M53" s="74"/>
      <c r="X53" s="88"/>
    </row>
    <row r="54" spans="2:36" s="82" customFormat="1">
      <c r="B54" s="92"/>
      <c r="C54" s="10" t="str">
        <f>$C$19</f>
        <v>Company Name</v>
      </c>
      <c r="D54" s="12" t="str">
        <f>$D$19</f>
        <v>Industry</v>
      </c>
      <c r="E54" s="12" t="str">
        <f>$E$19</f>
        <v>Inv. Date</v>
      </c>
      <c r="F54" s="12" t="str">
        <f>$F$19</f>
        <v>Exit Date</v>
      </c>
      <c r="G54" s="12" t="str">
        <f>$G$19</f>
        <v>Inv. Capital</v>
      </c>
      <c r="H54" s="12" t="str">
        <f>$H$19</f>
        <v>Realized</v>
      </c>
      <c r="I54" s="12" t="str">
        <f>$I$19</f>
        <v>Unrealized</v>
      </c>
      <c r="J54" s="12" t="str">
        <f>$J$19</f>
        <v>Total Value</v>
      </c>
      <c r="K54" s="12" t="str">
        <f>$K$19</f>
        <v>Gross MOIC</v>
      </c>
      <c r="L54" s="12" t="str">
        <f>$L$19</f>
        <v>Gross IRR</v>
      </c>
      <c r="M54" s="74"/>
      <c r="X54" s="88"/>
    </row>
    <row r="55" spans="2:36" s="82" customFormat="1">
      <c r="B55" s="92"/>
      <c r="C55" s="141" t="str" cm="1">
        <f t="array" ref="C55:C62">_xlfn._xlws.FILTER(Portco_Names,(Master_Sheet!$F$7:$F$27=C$51)*(Master_Sheet!$G$7:$G$27=C$53),"N/A")</f>
        <v>FluxNova Apps</v>
      </c>
      <c r="D55" s="97" t="str">
        <f t="shared" ref="D55:L62" si="8">INDEX(Portco_Data,MATCH($C55,Portco_Names,0),MATCH(D$54,Portco_Fields,0))</f>
        <v>Consumer</v>
      </c>
      <c r="E55" s="116">
        <f t="shared" si="8"/>
        <v>45687</v>
      </c>
      <c r="F55" s="116">
        <f t="shared" si="8"/>
        <v>46000</v>
      </c>
      <c r="G55" s="135">
        <f t="shared" si="8"/>
        <v>450</v>
      </c>
      <c r="H55" s="135">
        <f t="shared" si="8"/>
        <v>0</v>
      </c>
      <c r="I55" s="135">
        <f t="shared" si="8"/>
        <v>500</v>
      </c>
      <c r="J55" s="135">
        <f t="shared" si="8"/>
        <v>500</v>
      </c>
      <c r="K55" s="127">
        <f t="shared" si="8"/>
        <v>1.1111111111111112</v>
      </c>
      <c r="L55" s="89">
        <f t="shared" si="8"/>
        <v>0.13060186557119335</v>
      </c>
      <c r="M55" s="74"/>
      <c r="X55" s="88"/>
    </row>
    <row r="56" spans="2:36" s="82" customFormat="1">
      <c r="B56" s="92"/>
      <c r="C56" s="141" t="str">
        <v>BioSmile Labs</v>
      </c>
      <c r="D56" s="97" t="str">
        <f t="shared" si="8"/>
        <v>Healthcare</v>
      </c>
      <c r="E56" s="116">
        <f t="shared" si="8"/>
        <v>45261</v>
      </c>
      <c r="F56" s="116">
        <f t="shared" si="8"/>
        <v>46000</v>
      </c>
      <c r="G56" s="88">
        <f t="shared" si="8"/>
        <v>372.1</v>
      </c>
      <c r="H56" s="88">
        <f t="shared" si="8"/>
        <v>0</v>
      </c>
      <c r="I56" s="88">
        <f t="shared" si="8"/>
        <v>701.2</v>
      </c>
      <c r="J56" s="88">
        <f t="shared" si="8"/>
        <v>701.2</v>
      </c>
      <c r="K56" s="127">
        <f t="shared" si="8"/>
        <v>1.8844396667562484</v>
      </c>
      <c r="L56" s="89">
        <f t="shared" si="8"/>
        <v>0.36797804827128444</v>
      </c>
      <c r="M56" s="74"/>
      <c r="X56" s="88"/>
    </row>
    <row r="57" spans="2:36" s="82" customFormat="1">
      <c r="B57" s="92"/>
      <c r="C57" s="141" t="str">
        <v>PulseSenior Living</v>
      </c>
      <c r="D57" s="97" t="str">
        <f t="shared" si="8"/>
        <v>Healthcare</v>
      </c>
      <c r="E57" s="116">
        <f t="shared" si="8"/>
        <v>45320.694444444445</v>
      </c>
      <c r="F57" s="116">
        <f t="shared" si="8"/>
        <v>46000</v>
      </c>
      <c r="G57" s="88">
        <f t="shared" si="8"/>
        <v>426.94456577000005</v>
      </c>
      <c r="H57" s="88">
        <f t="shared" si="8"/>
        <v>0</v>
      </c>
      <c r="I57" s="88">
        <f t="shared" si="8"/>
        <v>525</v>
      </c>
      <c r="J57" s="88">
        <f t="shared" si="8"/>
        <v>525</v>
      </c>
      <c r="K57" s="127">
        <f t="shared" si="8"/>
        <v>1.2296678353386596</v>
      </c>
      <c r="L57" s="89">
        <f t="shared" si="8"/>
        <v>0.11749142212772323</v>
      </c>
      <c r="M57" s="74"/>
      <c r="S57" s="90"/>
      <c r="T57"/>
      <c r="U57" s="88"/>
      <c r="V57" s="88"/>
      <c r="W57" s="88"/>
      <c r="X57" s="88"/>
    </row>
    <row r="58" spans="2:36" s="82" customFormat="1">
      <c r="B58" s="92"/>
      <c r="C58" s="141" t="str">
        <v>Wallace Liqueur</v>
      </c>
      <c r="D58" s="97" t="str">
        <f t="shared" si="8"/>
        <v>Consumer</v>
      </c>
      <c r="E58" s="116">
        <f t="shared" si="8"/>
        <v>45107</v>
      </c>
      <c r="F58" s="116">
        <f t="shared" si="8"/>
        <v>46000</v>
      </c>
      <c r="G58" s="88">
        <f t="shared" si="8"/>
        <v>364.64771428000006</v>
      </c>
      <c r="H58" s="88">
        <f t="shared" si="8"/>
        <v>0</v>
      </c>
      <c r="I58" s="88">
        <f t="shared" si="8"/>
        <v>541.5</v>
      </c>
      <c r="J58" s="88">
        <f t="shared" si="8"/>
        <v>541.5</v>
      </c>
      <c r="K58" s="127">
        <f t="shared" si="8"/>
        <v>1.4849949109627527</v>
      </c>
      <c r="L58" s="89">
        <f t="shared" si="8"/>
        <v>0.17579346974379306</v>
      </c>
      <c r="M58" s="74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</row>
    <row r="59" spans="2:36" s="82" customFormat="1">
      <c r="B59" s="92"/>
      <c r="C59" s="141" t="str">
        <v>ThriveBio Tech</v>
      </c>
      <c r="D59" s="97" t="str">
        <f t="shared" si="8"/>
        <v>Healthcare</v>
      </c>
      <c r="E59" s="116">
        <f t="shared" si="8"/>
        <v>45864.138888888891</v>
      </c>
      <c r="F59" s="116">
        <f t="shared" si="8"/>
        <v>46000</v>
      </c>
      <c r="G59" s="88">
        <f t="shared" si="8"/>
        <v>315.7</v>
      </c>
      <c r="H59" s="88">
        <f t="shared" si="8"/>
        <v>0</v>
      </c>
      <c r="I59" s="88">
        <f t="shared" si="8"/>
        <v>331.2</v>
      </c>
      <c r="J59" s="88">
        <f t="shared" si="8"/>
        <v>331.2</v>
      </c>
      <c r="K59" s="127">
        <f t="shared" si="8"/>
        <v>1.0490972442191955</v>
      </c>
      <c r="L59" s="89">
        <f t="shared" si="8"/>
        <v>0.13852710204626084</v>
      </c>
      <c r="M59" s="74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spans="2:36" s="82" customFormat="1">
      <c r="B60" s="92"/>
      <c r="C60" s="141" t="str">
        <v>Alpha Omega Bio</v>
      </c>
      <c r="D60" s="97" t="str">
        <f t="shared" si="8"/>
        <v>Healthcare</v>
      </c>
      <c r="E60" s="116">
        <f t="shared" si="8"/>
        <v>45578.222222222219</v>
      </c>
      <c r="F60" s="116">
        <f t="shared" si="8"/>
        <v>46000</v>
      </c>
      <c r="G60" s="88">
        <f t="shared" si="8"/>
        <v>275</v>
      </c>
      <c r="H60" s="88">
        <f t="shared" si="8"/>
        <v>0</v>
      </c>
      <c r="I60" s="88">
        <f t="shared" si="8"/>
        <v>351.1</v>
      </c>
      <c r="J60" s="88">
        <f t="shared" si="8"/>
        <v>351.1</v>
      </c>
      <c r="K60" s="127">
        <f t="shared" si="8"/>
        <v>1.2767272727272727</v>
      </c>
      <c r="L60" s="89">
        <f t="shared" si="8"/>
        <v>0.235423033898712</v>
      </c>
      <c r="M60" s="74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spans="2:36" s="82" customFormat="1">
      <c r="B61" s="92"/>
      <c r="C61" s="141" t="str">
        <v>EchoWealth Partners</v>
      </c>
      <c r="D61" s="97" t="str">
        <f t="shared" si="8"/>
        <v>Business Services</v>
      </c>
      <c r="E61" s="116">
        <f t="shared" si="8"/>
        <v>45625.875</v>
      </c>
      <c r="F61" s="116">
        <f t="shared" si="8"/>
        <v>46000</v>
      </c>
      <c r="G61" s="88">
        <f t="shared" si="8"/>
        <v>312</v>
      </c>
      <c r="H61" s="88">
        <f t="shared" si="8"/>
        <v>0</v>
      </c>
      <c r="I61" s="88">
        <f t="shared" si="8"/>
        <v>345.1</v>
      </c>
      <c r="J61" s="88">
        <f t="shared" si="8"/>
        <v>345.1</v>
      </c>
      <c r="K61" s="127">
        <f t="shared" si="8"/>
        <v>1.1060897435897437</v>
      </c>
      <c r="L61" s="89">
        <f t="shared" si="8"/>
        <v>0.10307957187586503</v>
      </c>
      <c r="M61" s="74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spans="2:36" s="82" customFormat="1">
      <c r="B62" s="92"/>
      <c r="C62" s="141" t="str">
        <v>SynthoDent Group</v>
      </c>
      <c r="D62" s="97" t="str">
        <f t="shared" si="8"/>
        <v>Healthcare</v>
      </c>
      <c r="E62" s="122">
        <f t="shared" si="8"/>
        <v>45779.986111111109</v>
      </c>
      <c r="F62" s="122">
        <f t="shared" si="8"/>
        <v>46000</v>
      </c>
      <c r="G62" s="144">
        <f t="shared" si="8"/>
        <v>152.30000000000001</v>
      </c>
      <c r="H62" s="144">
        <f t="shared" si="8"/>
        <v>0</v>
      </c>
      <c r="I62" s="144">
        <f t="shared" si="8"/>
        <v>161.1</v>
      </c>
      <c r="J62" s="144">
        <f t="shared" si="8"/>
        <v>161.1</v>
      </c>
      <c r="K62" s="132">
        <f t="shared" si="8"/>
        <v>1.0577806959947471</v>
      </c>
      <c r="L62" s="91">
        <f t="shared" si="8"/>
        <v>9.7670580871463075E-2</v>
      </c>
      <c r="M62" s="74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spans="2:36" s="82" customFormat="1">
      <c r="B63" s="92"/>
      <c r="C63" s="117" t="s">
        <v>98</v>
      </c>
      <c r="D63" s="145"/>
      <c r="E63" s="146"/>
      <c r="F63" s="146"/>
      <c r="G63" s="74">
        <f>SUM(G55:G62)</f>
        <v>2668.6922800500006</v>
      </c>
      <c r="H63" s="74">
        <f>SUM(H55:H62)</f>
        <v>0</v>
      </c>
      <c r="I63" s="74">
        <f>SUM(I55:I62)</f>
        <v>3456.1999999999994</v>
      </c>
      <c r="J63" s="74">
        <f>SUM(J55:J62)</f>
        <v>3456.1999999999994</v>
      </c>
      <c r="K63" s="129">
        <f>J63/G63</f>
        <v>1.2950912421926908</v>
      </c>
      <c r="L63" s="93">
        <f>SUMPRODUCT(G55:G62,L55:L62)/G63</f>
        <v>0.17441908990707991</v>
      </c>
      <c r="M63" s="74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spans="2:36" s="82" customFormat="1">
      <c r="B64" s="92"/>
      <c r="C64" s="86"/>
      <c r="D64" s="97"/>
      <c r="E64" s="98"/>
      <c r="F64" s="98"/>
      <c r="G64" s="88"/>
      <c r="H64" s="88"/>
      <c r="I64" s="88"/>
      <c r="J64" s="88"/>
      <c r="K64" s="88"/>
      <c r="L64" s="88"/>
      <c r="M64" s="74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spans="2:36" s="82" customFormat="1">
      <c r="B65" s="92"/>
      <c r="C65" s="123" t="s">
        <v>115</v>
      </c>
      <c r="D65" s="124"/>
      <c r="E65" s="125"/>
      <c r="F65" s="125"/>
      <c r="G65" s="136">
        <f>G63</f>
        <v>2668.6922800500006</v>
      </c>
      <c r="H65" s="136">
        <f>H63</f>
        <v>0</v>
      </c>
      <c r="I65" s="136">
        <f>I63</f>
        <v>3456.1999999999994</v>
      </c>
      <c r="J65" s="136">
        <f>J63</f>
        <v>3456.1999999999994</v>
      </c>
      <c r="K65" s="131">
        <f>J65/G65</f>
        <v>1.2950912421926908</v>
      </c>
      <c r="L65" s="126">
        <f>SUMPRODUCT(G55:G62,L55:L62)/G65</f>
        <v>0.17441908990707991</v>
      </c>
      <c r="M65" s="74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spans="2:36" s="82" customFormat="1">
      <c r="B66" s="92"/>
      <c r="C66" s="86"/>
      <c r="D66" s="97"/>
      <c r="E66" s="90"/>
      <c r="F66" s="90"/>
      <c r="G66" s="88"/>
      <c r="H66" s="88"/>
      <c r="I66" s="88"/>
      <c r="J66" s="88"/>
      <c r="K66" s="88"/>
      <c r="L66" s="88"/>
      <c r="M66" s="74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spans="2:36" s="82" customFormat="1" ht="16.5" customHeight="1">
      <c r="B67" s="103" t="s">
        <v>125</v>
      </c>
      <c r="C67" s="100"/>
      <c r="D67" s="100"/>
      <c r="E67" s="101"/>
      <c r="F67" s="101"/>
      <c r="G67" s="102"/>
      <c r="H67" s="102"/>
      <c r="I67" s="102"/>
      <c r="J67" s="102"/>
      <c r="K67" s="102"/>
      <c r="L67" s="102"/>
      <c r="M67" s="102"/>
      <c r="N67" s="10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spans="2:36" s="82" customFormat="1">
      <c r="E68" s="90"/>
      <c r="F68" s="90"/>
      <c r="G68" s="88"/>
      <c r="H68" s="88"/>
      <c r="I68" s="88"/>
      <c r="J68" s="88"/>
      <c r="K68" s="88"/>
      <c r="L68" s="88"/>
      <c r="M68" s="88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spans="2:36" s="82" customFormat="1">
      <c r="C69" s="107"/>
      <c r="D69" s="107"/>
      <c r="E69" s="107" t="s">
        <v>174</v>
      </c>
      <c r="F69" s="107" t="s">
        <v>90</v>
      </c>
      <c r="G69" s="107" t="s">
        <v>107</v>
      </c>
      <c r="H69" s="107" t="s">
        <v>63</v>
      </c>
      <c r="I69" s="107" t="s">
        <v>118</v>
      </c>
      <c r="J69" s="107" t="s">
        <v>118</v>
      </c>
      <c r="K69" s="111" t="s">
        <v>94</v>
      </c>
      <c r="L69" s="111"/>
      <c r="M69" s="112" t="s">
        <v>99</v>
      </c>
      <c r="N69" s="112"/>
    </row>
    <row r="70" spans="2:36" s="82" customFormat="1">
      <c r="C70" s="109" t="s">
        <v>104</v>
      </c>
      <c r="D70" s="109" t="s">
        <v>108</v>
      </c>
      <c r="E70" s="109" t="s">
        <v>175</v>
      </c>
      <c r="F70" s="109" t="s">
        <v>91</v>
      </c>
      <c r="G70" s="109" t="s">
        <v>88</v>
      </c>
      <c r="H70" s="109" t="s">
        <v>90</v>
      </c>
      <c r="I70" s="109" t="s">
        <v>109</v>
      </c>
      <c r="J70" s="109" t="s">
        <v>128</v>
      </c>
      <c r="K70" s="110" t="s">
        <v>92</v>
      </c>
      <c r="L70" s="110" t="s">
        <v>93</v>
      </c>
      <c r="M70" s="113" t="s">
        <v>92</v>
      </c>
      <c r="N70" s="113" t="s">
        <v>93</v>
      </c>
    </row>
    <row r="71" spans="2:36" s="82" customFormat="1">
      <c r="C71" s="141" t="str" cm="1">
        <f t="array" ref="C71:C73">_xlfn.UNIQUE(Master_Sheet!F8:F27)</f>
        <v>Fund I</v>
      </c>
      <c r="D71" s="147">
        <f>YEAR(MIN(E20:E27))</f>
        <v>2017</v>
      </c>
      <c r="E71" s="135">
        <f>F71/H71</f>
        <v>1101.875</v>
      </c>
      <c r="F71" s="135">
        <f>G30</f>
        <v>881.5</v>
      </c>
      <c r="G71" s="135">
        <f>J30</f>
        <v>3135.7</v>
      </c>
      <c r="H71" s="137">
        <v>0.8</v>
      </c>
      <c r="I71" s="135">
        <f>MAX(0,IF(L71&gt;Hurdle,(G71-F71-J71)*Avg_Carry,0))</f>
        <v>417.78375</v>
      </c>
      <c r="J71" s="135">
        <f>E71*Avg_Mgmt_Fee*Avg_Fund_Life</f>
        <v>165.28125</v>
      </c>
      <c r="K71" s="127">
        <f>G71/F71</f>
        <v>3.55723199092456</v>
      </c>
      <c r="L71" s="89">
        <f>L30</f>
        <v>0.27400327505545258</v>
      </c>
      <c r="M71" s="127">
        <f>(G71-I71)/(F71+J71)</f>
        <v>2.5964510254649666</v>
      </c>
      <c r="N71" s="89">
        <f>L71-IF(I71&gt;0,Gross_Net_Spread,0)</f>
        <v>0.22400327505545259</v>
      </c>
      <c r="Q71" s="82" t="str">
        <f>C71&amp;" ("&amp;D71&amp;")"</f>
        <v>Fund I (2017)</v>
      </c>
    </row>
    <row r="72" spans="2:36" s="82" customFormat="1">
      <c r="C72" s="141" t="str">
        <v>Fund II</v>
      </c>
      <c r="D72" s="97">
        <f>YEAR(MIN(E36:E46))</f>
        <v>2020</v>
      </c>
      <c r="E72" s="88">
        <f t="shared" ref="E72:E73" si="9">F72/H72</f>
        <v>2201.056932775</v>
      </c>
      <c r="F72" s="88">
        <f>G49</f>
        <v>1760.84554622</v>
      </c>
      <c r="G72" s="88">
        <f>J49</f>
        <v>4071.7999999999997</v>
      </c>
      <c r="H72" s="137">
        <v>0.8</v>
      </c>
      <c r="I72" s="88">
        <f>MAX(0,IF(L72&gt;Hurdle,(G72-F72-J72)*Avg_Carry,0))</f>
        <v>396.15918277275</v>
      </c>
      <c r="J72" s="88">
        <f>E72*Avg_Mgmt_Fee*Avg_Fund_Life</f>
        <v>330.15853991624999</v>
      </c>
      <c r="K72" s="127">
        <f>G72/F72</f>
        <v>2.3124117891776006</v>
      </c>
      <c r="L72" s="89">
        <f>L49</f>
        <v>0.25008493055182041</v>
      </c>
      <c r="M72" s="127">
        <f t="shared" ref="M72:M73" si="10">(G72-I72)/(F72+J72)</f>
        <v>1.7578353106038571</v>
      </c>
      <c r="N72" s="89">
        <f>L72-IF(I72&gt;0,Gross_Net_Spread,0)</f>
        <v>0.20008493055182042</v>
      </c>
      <c r="Q72" s="82" t="str">
        <f t="shared" ref="Q72:Q73" si="11">C72&amp;" ("&amp;D72&amp;")"</f>
        <v>Fund II (2020)</v>
      </c>
    </row>
    <row r="73" spans="2:36" s="82" customFormat="1">
      <c r="C73" s="141" t="str">
        <v>Fund III</v>
      </c>
      <c r="D73" s="97">
        <f>YEAR(MIN(E55:E62))</f>
        <v>2023</v>
      </c>
      <c r="E73" s="88">
        <f t="shared" si="9"/>
        <v>3139.6379765294128</v>
      </c>
      <c r="F73" s="88">
        <f>G65</f>
        <v>2668.6922800500006</v>
      </c>
      <c r="G73" s="88">
        <f>J65</f>
        <v>3456.1999999999994</v>
      </c>
      <c r="H73" s="137">
        <v>0.85</v>
      </c>
      <c r="I73" s="88">
        <f>MAX(0,IF(L73&gt;Hurdle,(G73-F73-J73)*Avg_Carry,0))</f>
        <v>63.312404694117369</v>
      </c>
      <c r="J73" s="88">
        <f>E73*Avg_Mgmt_Fee*Avg_Fund_Life</f>
        <v>470.94569647941194</v>
      </c>
      <c r="K73" s="127">
        <f>G73/F73</f>
        <v>1.2950912421926908</v>
      </c>
      <c r="L73" s="89">
        <f>L65</f>
        <v>0.17441908990707991</v>
      </c>
      <c r="M73" s="127">
        <f t="shared" si="10"/>
        <v>1.0806620446910298</v>
      </c>
      <c r="N73" s="89">
        <f>L73-IF(I73&gt;0,Gross_Net_Spread,0)</f>
        <v>0.12441908990707991</v>
      </c>
      <c r="Q73" s="82" t="str">
        <f t="shared" si="11"/>
        <v>Fund III (2023)</v>
      </c>
    </row>
    <row r="74" spans="2:36" s="82" customFormat="1">
      <c r="E74" s="114"/>
      <c r="F74" s="90"/>
      <c r="G74" s="90"/>
      <c r="H74" s="88"/>
      <c r="I74" s="88"/>
      <c r="J74" s="88"/>
      <c r="K74" s="88"/>
      <c r="L74" s="88"/>
      <c r="M74" s="88"/>
    </row>
    <row r="75" spans="2:36" s="82" customFormat="1"/>
    <row r="76" spans="2:36" s="82" customFormat="1"/>
    <row r="77" spans="2:36" s="82" customFormat="1"/>
    <row r="78" spans="2:36" s="82" customFormat="1"/>
    <row r="79" spans="2:36" s="82" customFormat="1"/>
    <row r="80" spans="2:36" s="82" customFormat="1"/>
    <row r="81" s="82" customFormat="1"/>
    <row r="82" s="82" customFormat="1"/>
    <row r="83" s="82" customFormat="1" ht="15.75" customHeight="1"/>
    <row r="84" s="82" customFormat="1" ht="15.75" customHeight="1"/>
    <row r="85" s="82" customFormat="1" ht="15.75" customHeight="1"/>
    <row r="86" s="82" customFormat="1" ht="15.75" customHeight="1"/>
    <row r="87" s="82" customFormat="1" ht="15.75" customHeight="1"/>
    <row r="88" s="82" customFormat="1" ht="15.75" customHeight="1"/>
    <row r="89" s="82" customFormat="1" ht="15.75" customHeight="1"/>
    <row r="90" s="82" customFormat="1" ht="15.75" customHeight="1"/>
    <row r="91" s="82" customFormat="1" ht="15.75" customHeight="1"/>
    <row r="92" s="82" customFormat="1" ht="15.75" customHeight="1"/>
    <row r="93" s="82" customFormat="1" ht="15.75" customHeight="1"/>
    <row r="94" s="82" customFormat="1" ht="15.75" customHeight="1"/>
    <row r="95" s="82" customFormat="1"/>
    <row r="96" s="82" customFormat="1"/>
    <row r="97" s="82" customFormat="1" outlineLevel="1"/>
    <row r="98" s="82" customFormat="1"/>
    <row r="99" s="82" customFormat="1"/>
    <row r="100" s="82" customFormat="1"/>
    <row r="101" s="82" customFormat="1"/>
    <row r="102" s="82" customFormat="1"/>
    <row r="103" s="82" customFormat="1"/>
    <row r="104" s="82" customFormat="1"/>
    <row r="105" s="82" customFormat="1"/>
    <row r="106" s="82" customFormat="1"/>
    <row r="107" s="82" customFormat="1"/>
    <row r="108" s="82" customFormat="1"/>
    <row r="109" s="82" customFormat="1"/>
    <row r="110" s="82" customFormat="1"/>
    <row r="111" s="82" customFormat="1"/>
    <row r="112" s="82" customFormat="1"/>
    <row r="113" s="82" customFormat="1"/>
    <row r="114" s="82" customFormat="1"/>
    <row r="115" s="82" customFormat="1"/>
    <row r="116" s="82" customFormat="1"/>
    <row r="117" s="82" customFormat="1"/>
    <row r="118" s="82" customFormat="1"/>
    <row r="119" s="82" customFormat="1"/>
    <row r="120" s="82" customFormat="1"/>
    <row r="121" s="82" customFormat="1"/>
    <row r="122" s="82" customFormat="1"/>
    <row r="123" s="82" customFormat="1"/>
    <row r="124" s="82" customFormat="1"/>
    <row r="125" s="82" customFormat="1"/>
    <row r="126" s="82" customFormat="1"/>
    <row r="127" s="82" customFormat="1"/>
    <row r="154" spans="16:30">
      <c r="AB154" s="82"/>
      <c r="AC154" s="82"/>
      <c r="AD154" s="82"/>
    </row>
    <row r="155" spans="16:30"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  <c r="AA155" s="82"/>
      <c r="AB155" s="82"/>
      <c r="AC155" s="82"/>
      <c r="AD155" s="82"/>
    </row>
    <row r="156" spans="16:30">
      <c r="P156" s="82"/>
      <c r="Q156" s="150"/>
      <c r="R156" s="82"/>
      <c r="S156" s="82"/>
      <c r="T156" s="82"/>
      <c r="U156" s="82"/>
      <c r="V156" s="82"/>
      <c r="W156" s="82"/>
      <c r="X156" s="82"/>
      <c r="Y156" s="82"/>
      <c r="Z156" s="82"/>
      <c r="AA156" s="82"/>
      <c r="AB156" s="82"/>
      <c r="AC156" s="82"/>
      <c r="AD156" s="82"/>
    </row>
    <row r="157" spans="16:30"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  <c r="AA157" s="82"/>
      <c r="AB157" s="82"/>
      <c r="AC157" s="82"/>
      <c r="AD157" s="82"/>
    </row>
    <row r="158" spans="16:30"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  <c r="AA158" s="82"/>
      <c r="AB158" s="82"/>
      <c r="AC158" s="82"/>
      <c r="AD158" s="82"/>
    </row>
    <row r="159" spans="16:30"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  <c r="AA159" s="82"/>
      <c r="AB159" s="82"/>
      <c r="AC159" s="82"/>
      <c r="AD159" s="82"/>
    </row>
    <row r="160" spans="16:30"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  <c r="AA160" s="82"/>
      <c r="AB160" s="82"/>
      <c r="AC160" s="82"/>
      <c r="AD160" s="82"/>
    </row>
    <row r="161" spans="16:30"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  <c r="AA161" s="82"/>
      <c r="AB161" s="82"/>
      <c r="AC161" s="82"/>
      <c r="AD161" s="82"/>
    </row>
    <row r="162" spans="16:30">
      <c r="P162" s="65"/>
      <c r="Q162" s="82"/>
      <c r="R162" s="82"/>
      <c r="S162" s="82"/>
      <c r="T162" s="82"/>
      <c r="U162" s="82"/>
      <c r="V162" s="82"/>
      <c r="W162" s="82"/>
      <c r="X162" s="82"/>
      <c r="Y162" s="82"/>
      <c r="Z162" s="82"/>
      <c r="AA162" s="65"/>
    </row>
  </sheetData>
  <pageMargins left="0.7" right="0.7" top="0.75" bottom="0.75" header="0.3" footer="0.3"/>
  <pageSetup scale="37" orientation="portrait" r:id="rId1"/>
  <rowBreaks count="2" manualBreakCount="2">
    <brk id="31" max="24" man="1"/>
    <brk id="74" max="14" man="1"/>
  </rowBreaks>
  <colBreaks count="1" manualBreakCount="1">
    <brk id="15" max="73" man="1"/>
  </colBreaks>
  <ignoredErrors>
    <ignoredError sqref="M72:M73 M71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B8A7F-F3CA-487B-A6DF-C24618C751C0}">
  <sheetPr>
    <pageSetUpPr autoPageBreaks="0"/>
  </sheetPr>
  <dimension ref="B2:V83"/>
  <sheetViews>
    <sheetView workbookViewId="0"/>
  </sheetViews>
  <sheetFormatPr defaultColWidth="9.1796875" defaultRowHeight="15.5"/>
  <cols>
    <col min="1" max="2" width="2.7265625" style="2" customWidth="1"/>
    <col min="3" max="11" width="13.7265625" style="2" customWidth="1"/>
    <col min="12" max="13" width="2.7265625" style="2" customWidth="1"/>
    <col min="14" max="22" width="13.7265625" style="2" customWidth="1"/>
    <col min="23" max="16384" width="9.1796875" style="2"/>
  </cols>
  <sheetData>
    <row r="2" spans="2:22" ht="18.5">
      <c r="B2" s="24" t="s">
        <v>73</v>
      </c>
    </row>
    <row r="3" spans="2:22">
      <c r="B3" s="2" t="s">
        <v>12</v>
      </c>
    </row>
    <row r="5" spans="2:22">
      <c r="B5" s="3" t="s">
        <v>67</v>
      </c>
      <c r="C5" s="4"/>
      <c r="D5" s="4"/>
      <c r="E5" s="46" t="s">
        <v>68</v>
      </c>
      <c r="F5" s="5"/>
      <c r="G5" s="4"/>
      <c r="H5" s="5"/>
      <c r="I5" s="5"/>
      <c r="J5" s="46" t="str">
        <f>$E$5</f>
        <v>Units:</v>
      </c>
      <c r="K5" s="5"/>
      <c r="L5" s="49"/>
      <c r="M5" s="65"/>
      <c r="N5" s="65"/>
      <c r="O5" s="66"/>
      <c r="P5" s="66"/>
      <c r="Q5" s="66"/>
      <c r="R5" s="66"/>
      <c r="S5" s="66"/>
      <c r="T5" s="66"/>
      <c r="U5" s="66"/>
      <c r="V5" s="66"/>
    </row>
    <row r="6" spans="2:22">
      <c r="M6" s="65"/>
      <c r="N6" s="65"/>
      <c r="O6" s="65"/>
      <c r="P6" s="65"/>
      <c r="Q6" s="65"/>
      <c r="R6" s="65"/>
      <c r="S6" s="65"/>
      <c r="T6" s="65"/>
      <c r="U6" s="65"/>
      <c r="V6" s="65"/>
    </row>
    <row r="7" spans="2:22">
      <c r="C7" s="36" t="s">
        <v>74</v>
      </c>
      <c r="E7" s="44" t="s">
        <v>75</v>
      </c>
      <c r="F7" s="60">
        <v>8</v>
      </c>
      <c r="H7" s="2" t="s">
        <v>8</v>
      </c>
      <c r="J7" s="44" t="s">
        <v>69</v>
      </c>
      <c r="K7" s="6">
        <v>12</v>
      </c>
      <c r="M7" s="65"/>
      <c r="N7" s="65"/>
      <c r="O7" s="65"/>
      <c r="P7" s="65"/>
      <c r="Q7" s="65"/>
      <c r="R7" s="65"/>
      <c r="S7" s="65"/>
      <c r="T7" s="65"/>
      <c r="U7" s="65"/>
      <c r="V7" s="65"/>
    </row>
    <row r="8" spans="2:22">
      <c r="C8" s="36" t="s">
        <v>76</v>
      </c>
      <c r="E8" s="44" t="s">
        <v>77</v>
      </c>
      <c r="F8" s="61">
        <v>55</v>
      </c>
      <c r="M8" s="65"/>
      <c r="N8" s="65"/>
      <c r="O8" s="65"/>
      <c r="P8" s="65"/>
      <c r="Q8" s="65"/>
      <c r="R8" s="65"/>
      <c r="S8" s="65"/>
      <c r="T8" s="65"/>
      <c r="U8" s="65"/>
      <c r="V8" s="65"/>
    </row>
    <row r="9" spans="2:22">
      <c r="H9" s="2" t="s">
        <v>45</v>
      </c>
      <c r="J9" s="44" t="s">
        <v>63</v>
      </c>
      <c r="K9" s="8">
        <v>0.2</v>
      </c>
      <c r="M9" s="65"/>
      <c r="N9" s="65"/>
      <c r="O9" s="65"/>
      <c r="P9" s="65"/>
      <c r="Q9" s="65"/>
      <c r="R9" s="65"/>
      <c r="S9" s="65"/>
      <c r="T9" s="65"/>
      <c r="U9" s="65"/>
      <c r="V9" s="65"/>
    </row>
    <row r="10" spans="2:22">
      <c r="C10" s="36" t="s">
        <v>80</v>
      </c>
      <c r="E10" s="44" t="s">
        <v>63</v>
      </c>
      <c r="F10" s="8">
        <v>0.25</v>
      </c>
      <c r="H10" s="2" t="s">
        <v>11</v>
      </c>
      <c r="J10" s="44" t="s">
        <v>63</v>
      </c>
      <c r="K10" s="8">
        <v>0.25</v>
      </c>
      <c r="M10" s="65"/>
      <c r="N10" s="65"/>
      <c r="O10" s="65"/>
      <c r="P10" s="65"/>
      <c r="Q10" s="65"/>
      <c r="R10" s="65"/>
      <c r="S10" s="65"/>
      <c r="T10" s="65"/>
      <c r="U10" s="65"/>
      <c r="V10" s="65"/>
    </row>
    <row r="11" spans="2:22">
      <c r="M11" s="65"/>
      <c r="N11" s="65"/>
      <c r="O11" s="65"/>
      <c r="P11" s="65"/>
      <c r="Q11" s="65"/>
      <c r="R11" s="65"/>
      <c r="S11" s="65"/>
      <c r="T11" s="65"/>
      <c r="U11" s="65"/>
      <c r="V11" s="65"/>
    </row>
    <row r="12" spans="2:22">
      <c r="C12" s="1" t="s">
        <v>72</v>
      </c>
      <c r="E12" s="44" t="s">
        <v>66</v>
      </c>
      <c r="F12" s="20">
        <f>F7*(1+F10)*F8</f>
        <v>550</v>
      </c>
      <c r="H12" s="36" t="s">
        <v>62</v>
      </c>
      <c r="J12" s="44" t="s">
        <v>63</v>
      </c>
      <c r="K12" s="8">
        <v>0.01</v>
      </c>
      <c r="M12" s="65"/>
      <c r="N12" s="65"/>
      <c r="O12" s="65"/>
      <c r="P12" s="65"/>
      <c r="Q12" s="65"/>
      <c r="R12" s="65"/>
      <c r="S12" s="65"/>
      <c r="T12" s="65"/>
      <c r="U12" s="65"/>
      <c r="V12" s="65"/>
    </row>
    <row r="13" spans="2:22">
      <c r="C13" s="39" t="s">
        <v>78</v>
      </c>
      <c r="E13" s="44" t="s">
        <v>66</v>
      </c>
      <c r="F13" s="63" t="e">
        <f>-#REF!</f>
        <v>#REF!</v>
      </c>
      <c r="H13" s="36" t="s">
        <v>64</v>
      </c>
      <c r="J13" s="44" t="s">
        <v>63</v>
      </c>
      <c r="K13" s="8">
        <v>0.02</v>
      </c>
      <c r="L13" s="47"/>
      <c r="M13" s="65"/>
      <c r="N13" s="65"/>
      <c r="O13" s="65"/>
      <c r="P13" s="65"/>
      <c r="Q13" s="65"/>
      <c r="R13" s="65"/>
      <c r="S13" s="65"/>
      <c r="T13" s="65"/>
      <c r="U13" s="65"/>
      <c r="V13" s="65"/>
    </row>
    <row r="14" spans="2:22">
      <c r="C14" s="39" t="s">
        <v>79</v>
      </c>
      <c r="E14" s="59" t="s">
        <v>66</v>
      </c>
      <c r="F14" s="64" t="e">
        <f>-#REF!</f>
        <v>#REF!</v>
      </c>
      <c r="H14" s="36"/>
      <c r="J14" s="36"/>
      <c r="K14" s="36"/>
      <c r="M14" s="65"/>
      <c r="N14" s="65"/>
      <c r="O14" s="65"/>
      <c r="P14" s="65"/>
      <c r="Q14" s="65"/>
      <c r="R14" s="65"/>
      <c r="S14" s="65"/>
      <c r="T14" s="65"/>
      <c r="U14" s="65"/>
      <c r="V14" s="65"/>
    </row>
    <row r="15" spans="2:22">
      <c r="C15" s="21" t="s">
        <v>53</v>
      </c>
      <c r="D15" s="22"/>
      <c r="E15" s="44" t="s">
        <v>66</v>
      </c>
      <c r="F15" s="62" t="e">
        <f>SUM(F12:F14)</f>
        <v>#REF!</v>
      </c>
      <c r="H15" s="36" t="s">
        <v>65</v>
      </c>
      <c r="J15" s="44" t="s">
        <v>66</v>
      </c>
      <c r="K15" s="55">
        <v>2</v>
      </c>
      <c r="M15" s="65"/>
      <c r="N15" s="65"/>
      <c r="O15" s="65"/>
      <c r="P15" s="65"/>
      <c r="Q15" s="65"/>
      <c r="R15" s="65"/>
      <c r="S15" s="65"/>
      <c r="T15" s="65"/>
      <c r="U15" s="65"/>
      <c r="V15" s="65"/>
    </row>
    <row r="16" spans="2:22">
      <c r="M16" s="65"/>
      <c r="N16" s="65"/>
      <c r="O16" s="65"/>
      <c r="P16" s="65"/>
      <c r="Q16" s="65"/>
      <c r="R16" s="65"/>
      <c r="S16" s="65"/>
      <c r="T16" s="65"/>
      <c r="U16" s="65"/>
      <c r="V16" s="65"/>
    </row>
    <row r="17" spans="2:22">
      <c r="C17" s="2" t="s">
        <v>17</v>
      </c>
      <c r="E17" s="44" t="s">
        <v>69</v>
      </c>
      <c r="F17" s="48" t="e">
        <f>F15/F38</f>
        <v>#REF!</v>
      </c>
      <c r="M17" s="65"/>
      <c r="N17" s="65"/>
      <c r="O17" s="65"/>
      <c r="P17" s="65"/>
      <c r="Q17" s="65"/>
      <c r="R17" s="65"/>
      <c r="S17" s="65"/>
      <c r="T17" s="65"/>
      <c r="U17" s="65"/>
      <c r="V17" s="65"/>
    </row>
    <row r="18" spans="2:22">
      <c r="M18" s="65"/>
      <c r="N18" s="65"/>
      <c r="O18" s="65"/>
      <c r="P18" s="65"/>
      <c r="Q18" s="65"/>
      <c r="R18" s="65"/>
      <c r="S18" s="65"/>
      <c r="T18" s="65"/>
      <c r="U18" s="65"/>
      <c r="V18" s="65"/>
    </row>
    <row r="19" spans="2:22">
      <c r="C19" s="36" t="s">
        <v>70</v>
      </c>
      <c r="E19" s="44" t="s">
        <v>69</v>
      </c>
      <c r="F19" s="6">
        <v>5</v>
      </c>
      <c r="M19" s="65"/>
      <c r="N19" s="65"/>
      <c r="O19" s="65"/>
      <c r="P19" s="65"/>
      <c r="Q19" s="65"/>
      <c r="R19" s="65"/>
      <c r="S19" s="65"/>
      <c r="T19" s="65"/>
      <c r="U19" s="65"/>
      <c r="V19" s="65"/>
    </row>
    <row r="20" spans="2:22">
      <c r="C20" s="36" t="s">
        <v>84</v>
      </c>
      <c r="E20" s="44" t="s">
        <v>66</v>
      </c>
      <c r="F20" s="9">
        <f>F19*F38</f>
        <v>250</v>
      </c>
      <c r="M20" s="65"/>
      <c r="N20" s="65"/>
      <c r="O20" s="65"/>
      <c r="P20" s="65"/>
      <c r="Q20" s="65"/>
      <c r="R20" s="65"/>
      <c r="S20" s="65"/>
      <c r="T20" s="65"/>
      <c r="U20" s="65"/>
      <c r="V20" s="65"/>
    </row>
    <row r="21" spans="2:22">
      <c r="C21" s="2" t="s">
        <v>15</v>
      </c>
      <c r="E21" s="44" t="s">
        <v>63</v>
      </c>
      <c r="F21" s="8">
        <v>0.05</v>
      </c>
      <c r="M21" s="65"/>
      <c r="N21" s="65"/>
      <c r="O21" s="65"/>
      <c r="P21" s="65"/>
      <c r="Q21" s="65"/>
      <c r="R21" s="65"/>
      <c r="S21" s="65"/>
      <c r="T21" s="65"/>
      <c r="U21" s="65"/>
      <c r="V21" s="65"/>
    </row>
    <row r="22" spans="2:22">
      <c r="M22" s="65"/>
      <c r="N22" s="65"/>
      <c r="O22" s="65"/>
      <c r="P22" s="65"/>
      <c r="Q22" s="65"/>
      <c r="R22" s="65"/>
      <c r="S22" s="65"/>
      <c r="T22" s="65"/>
      <c r="U22" s="65"/>
      <c r="V22" s="65"/>
    </row>
    <row r="23" spans="2:22">
      <c r="B23" s="3" t="s">
        <v>54</v>
      </c>
      <c r="C23" s="4"/>
      <c r="D23" s="4"/>
      <c r="E23" s="4"/>
      <c r="F23" s="4"/>
      <c r="G23" s="4"/>
      <c r="H23" s="5"/>
      <c r="I23" s="5"/>
      <c r="J23" s="5"/>
      <c r="K23" s="5"/>
      <c r="M23" s="65"/>
      <c r="N23" s="65"/>
      <c r="O23" s="65"/>
      <c r="P23" s="65"/>
      <c r="Q23" s="65"/>
      <c r="R23" s="65"/>
      <c r="S23" s="65"/>
      <c r="T23" s="65"/>
      <c r="U23" s="65"/>
      <c r="V23" s="65"/>
    </row>
    <row r="24" spans="2:22">
      <c r="M24" s="65"/>
      <c r="N24" s="65"/>
      <c r="O24" s="65"/>
      <c r="P24" s="65"/>
      <c r="Q24" s="65"/>
      <c r="R24" s="65"/>
      <c r="S24" s="65"/>
      <c r="T24" s="65"/>
      <c r="U24" s="65"/>
      <c r="V24" s="65"/>
    </row>
    <row r="25" spans="2:22">
      <c r="C25" s="37" t="s">
        <v>60</v>
      </c>
      <c r="D25" s="38"/>
      <c r="E25" s="37"/>
      <c r="F25" s="37"/>
      <c r="H25" s="37" t="s">
        <v>55</v>
      </c>
      <c r="I25" s="38"/>
      <c r="J25" s="38"/>
      <c r="K25" s="38"/>
      <c r="M25" s="65"/>
      <c r="N25" s="65"/>
      <c r="O25" s="65"/>
      <c r="P25" s="65"/>
      <c r="Q25" s="65"/>
      <c r="R25" s="65"/>
      <c r="S25" s="65"/>
      <c r="T25" s="65"/>
      <c r="U25" s="65"/>
      <c r="V25" s="65"/>
    </row>
    <row r="26" spans="2:22">
      <c r="C26" s="39" t="s">
        <v>83</v>
      </c>
      <c r="D26" s="36"/>
      <c r="F26" s="50" t="e">
        <f>(F20-K27)</f>
        <v>#REF!</v>
      </c>
      <c r="H26" s="39" t="s">
        <v>81</v>
      </c>
      <c r="I26" s="36"/>
      <c r="J26" s="36"/>
      <c r="K26" s="50">
        <f>F12</f>
        <v>550</v>
      </c>
      <c r="M26" s="65"/>
      <c r="N26" s="65"/>
      <c r="O26" s="65"/>
      <c r="P26" s="65"/>
      <c r="Q26" s="65"/>
      <c r="R26" s="65"/>
      <c r="S26" s="65"/>
      <c r="T26" s="65"/>
      <c r="U26" s="65"/>
      <c r="V26" s="65"/>
    </row>
    <row r="27" spans="2:22">
      <c r="C27" s="39" t="s">
        <v>82</v>
      </c>
      <c r="F27" s="9" t="e">
        <f>K27</f>
        <v>#REF!</v>
      </c>
      <c r="H27" s="39" t="s">
        <v>82</v>
      </c>
      <c r="K27" s="9" t="e">
        <f>F14</f>
        <v>#REF!</v>
      </c>
      <c r="M27" s="65"/>
      <c r="N27" s="65"/>
      <c r="O27" s="65"/>
      <c r="P27" s="65"/>
      <c r="Q27" s="65"/>
      <c r="R27" s="65"/>
      <c r="S27" s="65"/>
      <c r="T27" s="65"/>
      <c r="U27" s="65"/>
      <c r="V27" s="65"/>
    </row>
    <row r="28" spans="2:22">
      <c r="C28" s="39" t="s">
        <v>85</v>
      </c>
      <c r="F28" s="9" t="e">
        <f>(-F13-K9*F38)</f>
        <v>#REF!</v>
      </c>
      <c r="H28" s="39" t="s">
        <v>56</v>
      </c>
      <c r="I28" s="36"/>
      <c r="J28" s="36"/>
      <c r="K28" s="51">
        <f>K12*F12+K15</f>
        <v>7.5</v>
      </c>
      <c r="M28" s="65"/>
      <c r="N28" s="65"/>
      <c r="O28" s="65"/>
      <c r="P28" s="65"/>
      <c r="Q28" s="65"/>
      <c r="R28" s="65"/>
      <c r="S28" s="65"/>
      <c r="T28" s="65"/>
      <c r="U28" s="65"/>
      <c r="V28" s="65"/>
    </row>
    <row r="29" spans="2:22">
      <c r="C29" s="39" t="s">
        <v>71</v>
      </c>
      <c r="D29" s="43"/>
      <c r="E29" s="18"/>
      <c r="F29" s="51" t="e">
        <f>K30-SUM(F26:F28)</f>
        <v>#REF!</v>
      </c>
      <c r="H29" s="39" t="s">
        <v>57</v>
      </c>
      <c r="I29" s="36"/>
      <c r="J29" s="36"/>
      <c r="K29" s="51">
        <f>K13*F20</f>
        <v>5</v>
      </c>
      <c r="M29" s="65"/>
      <c r="N29" s="65"/>
      <c r="O29" s="65"/>
      <c r="P29" s="65"/>
      <c r="Q29" s="65"/>
      <c r="R29" s="65"/>
      <c r="S29" s="65"/>
      <c r="T29" s="65"/>
      <c r="U29" s="65"/>
      <c r="V29" s="65"/>
    </row>
    <row r="30" spans="2:22">
      <c r="C30" s="40" t="s">
        <v>61</v>
      </c>
      <c r="D30" s="36"/>
      <c r="F30" s="52" t="e">
        <f>SUM(F26:F29)</f>
        <v>#REF!</v>
      </c>
      <c r="H30" s="40" t="s">
        <v>58</v>
      </c>
      <c r="I30" s="41"/>
      <c r="J30" s="41"/>
      <c r="K30" s="52" t="e">
        <f>SUM(K26:K29)</f>
        <v>#REF!</v>
      </c>
      <c r="L30" s="36"/>
      <c r="M30" s="65"/>
      <c r="N30" s="65"/>
      <c r="O30" s="65"/>
      <c r="P30" s="65"/>
      <c r="Q30" s="65"/>
      <c r="R30" s="65"/>
      <c r="S30" s="65"/>
      <c r="T30" s="65"/>
      <c r="U30" s="65"/>
      <c r="V30" s="65"/>
    </row>
    <row r="31" spans="2:22">
      <c r="H31" s="36"/>
      <c r="I31" s="36"/>
      <c r="J31" s="36"/>
      <c r="K31" s="36"/>
      <c r="L31" s="42"/>
      <c r="M31" s="65"/>
      <c r="N31" s="65"/>
      <c r="O31" s="65"/>
      <c r="P31" s="65"/>
      <c r="Q31" s="65"/>
      <c r="R31" s="65"/>
      <c r="S31" s="65"/>
      <c r="T31" s="65"/>
      <c r="U31" s="65"/>
      <c r="V31" s="65"/>
    </row>
    <row r="32" spans="2:22">
      <c r="H32" s="1" t="s">
        <v>59</v>
      </c>
      <c r="I32" s="36"/>
      <c r="J32" s="36"/>
      <c r="K32" s="42" t="e">
        <f>F30-K30</f>
        <v>#REF!</v>
      </c>
      <c r="L32" s="42"/>
      <c r="M32" s="65"/>
      <c r="N32" s="65"/>
      <c r="O32" s="65"/>
      <c r="P32" s="65"/>
      <c r="Q32" s="65"/>
      <c r="R32" s="65"/>
      <c r="S32" s="65"/>
      <c r="T32" s="65"/>
      <c r="U32" s="65"/>
      <c r="V32" s="65"/>
    </row>
    <row r="33" spans="2:22">
      <c r="M33" s="65"/>
      <c r="N33" s="65"/>
      <c r="O33" s="65"/>
      <c r="P33" s="65"/>
      <c r="Q33" s="65"/>
      <c r="R33" s="65"/>
      <c r="S33" s="65"/>
      <c r="T33" s="65"/>
      <c r="U33" s="65"/>
      <c r="V33" s="65"/>
    </row>
    <row r="34" spans="2:22">
      <c r="B34" s="3" t="s">
        <v>13</v>
      </c>
      <c r="C34" s="4"/>
      <c r="D34" s="4"/>
      <c r="E34" s="4"/>
      <c r="F34" s="45" t="s">
        <v>0</v>
      </c>
      <c r="G34" s="45" t="s">
        <v>1</v>
      </c>
      <c r="H34" s="45" t="s">
        <v>2</v>
      </c>
      <c r="I34" s="45" t="s">
        <v>3</v>
      </c>
      <c r="J34" s="45" t="s">
        <v>4</v>
      </c>
      <c r="K34" s="45" t="s">
        <v>5</v>
      </c>
      <c r="M34" s="65"/>
      <c r="N34" s="65"/>
      <c r="O34" s="65"/>
      <c r="P34" s="65"/>
      <c r="Q34" s="65"/>
      <c r="R34" s="65"/>
      <c r="S34" s="65"/>
      <c r="T34" s="65"/>
      <c r="U34" s="65"/>
      <c r="V34" s="65"/>
    </row>
    <row r="35" spans="2:22">
      <c r="B35" s="1"/>
      <c r="C35" s="2" t="s">
        <v>14</v>
      </c>
      <c r="F35" s="27">
        <v>250</v>
      </c>
      <c r="G35" s="13"/>
      <c r="H35" s="13"/>
      <c r="I35" s="13"/>
      <c r="J35" s="13"/>
      <c r="K35" s="13"/>
      <c r="M35" s="65"/>
      <c r="N35" s="65"/>
      <c r="O35" s="65"/>
      <c r="P35" s="65"/>
      <c r="Q35" s="65"/>
      <c r="R35" s="65"/>
      <c r="S35" s="65"/>
      <c r="T35" s="65"/>
      <c r="U35" s="65"/>
      <c r="V35" s="65"/>
    </row>
    <row r="36" spans="2:22">
      <c r="B36" s="1"/>
      <c r="C36" s="16" t="s">
        <v>30</v>
      </c>
      <c r="F36" s="14"/>
      <c r="G36" s="31"/>
      <c r="H36" s="31"/>
      <c r="I36" s="31"/>
      <c r="J36" s="31"/>
      <c r="K36" s="31"/>
      <c r="M36" s="65"/>
      <c r="N36" s="65"/>
      <c r="O36" s="65"/>
      <c r="P36" s="65"/>
      <c r="Q36" s="65"/>
      <c r="R36" s="65"/>
      <c r="S36" s="65"/>
      <c r="T36" s="65"/>
      <c r="U36" s="65"/>
      <c r="V36" s="65"/>
    </row>
    <row r="37" spans="2:22">
      <c r="B37" s="1"/>
      <c r="F37" s="14"/>
      <c r="G37" s="14"/>
      <c r="H37" s="14"/>
      <c r="I37" s="14"/>
      <c r="J37" s="14"/>
      <c r="K37" s="14"/>
      <c r="M37" s="65"/>
      <c r="N37" s="65"/>
      <c r="O37" s="65"/>
      <c r="P37" s="65"/>
      <c r="Q37" s="65"/>
      <c r="R37" s="65"/>
      <c r="S37" s="65"/>
      <c r="T37" s="65"/>
      <c r="U37" s="65"/>
      <c r="V37" s="65"/>
    </row>
    <row r="38" spans="2:22">
      <c r="C38" s="2" t="s">
        <v>10</v>
      </c>
      <c r="F38" s="9">
        <f>+F35*F39</f>
        <v>50</v>
      </c>
      <c r="G38" s="9"/>
      <c r="H38" s="9"/>
      <c r="I38" s="9"/>
      <c r="J38" s="9"/>
      <c r="K38" s="9"/>
      <c r="M38" s="65"/>
      <c r="N38" s="65"/>
      <c r="O38" s="65"/>
      <c r="P38" s="65"/>
      <c r="Q38" s="65"/>
      <c r="R38" s="65"/>
      <c r="S38" s="65"/>
      <c r="T38" s="65"/>
      <c r="U38" s="65"/>
      <c r="V38" s="65"/>
    </row>
    <row r="39" spans="2:22">
      <c r="C39" s="16" t="s">
        <v>31</v>
      </c>
      <c r="F39" s="31">
        <v>0.2</v>
      </c>
      <c r="G39" s="31"/>
      <c r="H39" s="31"/>
      <c r="I39" s="31"/>
      <c r="J39" s="31"/>
      <c r="K39" s="31"/>
      <c r="M39" s="65"/>
      <c r="N39" s="65"/>
      <c r="O39" s="65"/>
      <c r="P39" s="65"/>
      <c r="Q39" s="65"/>
      <c r="R39" s="65"/>
      <c r="S39" s="65"/>
      <c r="T39" s="65"/>
      <c r="U39" s="65"/>
      <c r="V39" s="65"/>
    </row>
    <row r="40" spans="2:22">
      <c r="C40" s="25" t="s">
        <v>30</v>
      </c>
      <c r="G40" s="26"/>
      <c r="H40" s="26"/>
      <c r="I40" s="26"/>
      <c r="J40" s="26"/>
      <c r="K40" s="26"/>
      <c r="M40" s="65"/>
      <c r="N40" s="65"/>
      <c r="O40" s="65"/>
      <c r="P40" s="65"/>
      <c r="Q40" s="65"/>
      <c r="R40" s="65"/>
      <c r="S40" s="65"/>
      <c r="T40" s="65"/>
      <c r="U40" s="65"/>
      <c r="V40" s="65"/>
    </row>
    <row r="41" spans="2:22">
      <c r="M41" s="65"/>
      <c r="N41" s="65"/>
      <c r="O41" s="65"/>
      <c r="P41" s="65"/>
      <c r="Q41" s="65"/>
      <c r="R41" s="65"/>
      <c r="S41" s="65"/>
      <c r="T41" s="65"/>
      <c r="U41" s="65"/>
      <c r="V41" s="65"/>
    </row>
    <row r="42" spans="2:22">
      <c r="C42" s="2" t="s">
        <v>32</v>
      </c>
      <c r="G42" s="9"/>
      <c r="H42" s="9"/>
      <c r="I42" s="9"/>
      <c r="J42" s="9"/>
      <c r="K42" s="9"/>
    </row>
    <row r="43" spans="2:22">
      <c r="C43" s="16" t="s">
        <v>39</v>
      </c>
      <c r="G43" s="31"/>
      <c r="H43" s="31"/>
      <c r="I43" s="31"/>
      <c r="J43" s="31"/>
      <c r="K43" s="31"/>
    </row>
    <row r="44" spans="2:22">
      <c r="G44" s="9"/>
      <c r="H44" s="9"/>
      <c r="I44" s="9"/>
      <c r="J44" s="9"/>
      <c r="K44" s="9"/>
    </row>
    <row r="45" spans="2:22">
      <c r="C45" s="2" t="s">
        <v>33</v>
      </c>
      <c r="G45" s="9"/>
      <c r="H45" s="9"/>
      <c r="I45" s="9"/>
      <c r="J45" s="9"/>
      <c r="K45" s="9"/>
    </row>
    <row r="47" spans="2:22">
      <c r="C47" s="2" t="s">
        <v>16</v>
      </c>
      <c r="G47" s="9"/>
      <c r="H47" s="9"/>
      <c r="I47" s="9"/>
      <c r="J47" s="9"/>
      <c r="K47" s="9"/>
    </row>
    <row r="48" spans="2:22">
      <c r="C48" s="16" t="s">
        <v>34</v>
      </c>
      <c r="G48" s="9"/>
      <c r="H48" s="9"/>
      <c r="I48" s="9"/>
      <c r="J48" s="9"/>
      <c r="K48" s="9"/>
    </row>
    <row r="49" spans="2:11">
      <c r="C49" s="21" t="s">
        <v>6</v>
      </c>
      <c r="D49" s="22"/>
      <c r="E49" s="22"/>
      <c r="F49" s="22"/>
      <c r="G49" s="23"/>
      <c r="H49" s="23"/>
      <c r="I49" s="23"/>
      <c r="J49" s="23"/>
      <c r="K49" s="23"/>
    </row>
    <row r="51" spans="2:11">
      <c r="B51" s="3" t="s">
        <v>35</v>
      </c>
      <c r="C51" s="4"/>
      <c r="D51" s="4"/>
      <c r="E51" s="4"/>
      <c r="F51" s="45" t="str">
        <f>+$F$34</f>
        <v>Year 0</v>
      </c>
      <c r="G51" s="45" t="str">
        <f>+$G$34</f>
        <v>Year 1</v>
      </c>
      <c r="H51" s="45" t="str">
        <f>+$H$34</f>
        <v>Year 2</v>
      </c>
      <c r="I51" s="45" t="str">
        <f>+$I$34</f>
        <v>Year 3</v>
      </c>
      <c r="J51" s="45" t="str">
        <f>+$J$34</f>
        <v>Year 4</v>
      </c>
      <c r="K51" s="45" t="str">
        <f>+$K$34</f>
        <v>Year 5</v>
      </c>
    </row>
    <row r="52" spans="2:11">
      <c r="C52" s="2" t="s">
        <v>6</v>
      </c>
      <c r="G52" s="7"/>
      <c r="H52" s="7"/>
      <c r="I52" s="7"/>
      <c r="J52" s="7"/>
      <c r="K52" s="7"/>
    </row>
    <row r="54" spans="2:11">
      <c r="C54" s="2" t="s">
        <v>36</v>
      </c>
      <c r="G54" s="9"/>
      <c r="H54" s="9"/>
      <c r="I54" s="9"/>
      <c r="J54" s="9"/>
      <c r="K54" s="9"/>
    </row>
    <row r="55" spans="2:11">
      <c r="C55" s="2" t="s">
        <v>37</v>
      </c>
      <c r="G55" s="9"/>
      <c r="H55" s="9"/>
      <c r="I55" s="9"/>
      <c r="J55" s="9"/>
      <c r="K55" s="9"/>
    </row>
    <row r="56" spans="2:11">
      <c r="C56" s="16" t="s">
        <v>40</v>
      </c>
      <c r="G56" s="31"/>
      <c r="H56" s="31"/>
      <c r="I56" s="31"/>
      <c r="J56" s="31"/>
      <c r="K56" s="31"/>
    </row>
    <row r="57" spans="2:11">
      <c r="G57" s="9"/>
      <c r="H57" s="9"/>
      <c r="I57" s="9"/>
      <c r="J57" s="9"/>
      <c r="K57" s="9"/>
    </row>
    <row r="58" spans="2:11">
      <c r="C58" s="2" t="s">
        <v>38</v>
      </c>
      <c r="G58" s="9"/>
      <c r="H58" s="9"/>
      <c r="I58" s="9"/>
      <c r="J58" s="9"/>
      <c r="K58" s="9"/>
    </row>
    <row r="59" spans="2:11">
      <c r="C59" s="16" t="s">
        <v>40</v>
      </c>
      <c r="G59" s="31"/>
      <c r="H59" s="31"/>
      <c r="I59" s="31"/>
      <c r="J59" s="31"/>
      <c r="K59" s="31"/>
    </row>
    <row r="60" spans="2:11">
      <c r="G60" s="15"/>
      <c r="H60" s="15"/>
      <c r="I60" s="15"/>
      <c r="J60" s="15"/>
      <c r="K60" s="15"/>
    </row>
    <row r="61" spans="2:11">
      <c r="C61" s="16" t="s">
        <v>41</v>
      </c>
      <c r="G61" s="9"/>
      <c r="H61" s="9"/>
      <c r="I61" s="9"/>
      <c r="J61" s="9"/>
      <c r="K61" s="9"/>
    </row>
    <row r="62" spans="2:11">
      <c r="C62" s="16" t="s">
        <v>42</v>
      </c>
      <c r="G62" s="9"/>
      <c r="H62" s="9"/>
      <c r="I62" s="9"/>
      <c r="J62" s="9"/>
      <c r="K62" s="9"/>
    </row>
    <row r="63" spans="2:11">
      <c r="C63" s="16" t="s">
        <v>43</v>
      </c>
      <c r="G63" s="9"/>
      <c r="H63" s="9"/>
      <c r="I63" s="9"/>
      <c r="J63" s="9"/>
      <c r="K63" s="9"/>
    </row>
    <row r="64" spans="2:11">
      <c r="C64" s="21" t="s">
        <v>44</v>
      </c>
      <c r="D64" s="22"/>
      <c r="E64" s="22"/>
      <c r="F64" s="22"/>
      <c r="G64" s="28"/>
      <c r="H64" s="28"/>
      <c r="I64" s="28"/>
      <c r="J64" s="28"/>
      <c r="K64" s="28"/>
    </row>
    <row r="65" spans="3:11">
      <c r="G65" s="15"/>
      <c r="H65" s="15"/>
      <c r="I65" s="15"/>
      <c r="J65" s="15"/>
      <c r="K65" s="15"/>
    </row>
    <row r="66" spans="3:11">
      <c r="C66" s="2" t="s">
        <v>20</v>
      </c>
      <c r="G66" s="9"/>
      <c r="H66" s="9"/>
      <c r="I66" s="9"/>
      <c r="J66" s="9"/>
      <c r="K66" s="9"/>
    </row>
    <row r="68" spans="3:11">
      <c r="C68" s="2" t="s">
        <v>7</v>
      </c>
      <c r="F68" s="9" t="e">
        <f>SUM(F26:F27)</f>
        <v>#REF!</v>
      </c>
      <c r="G68" s="9"/>
      <c r="H68" s="9"/>
      <c r="I68" s="9"/>
      <c r="J68" s="9"/>
      <c r="K68" s="9"/>
    </row>
    <row r="69" spans="3:11">
      <c r="C69" s="2" t="s">
        <v>19</v>
      </c>
      <c r="F69" s="9" t="e">
        <f>-F13-F28</f>
        <v>#REF!</v>
      </c>
      <c r="G69" s="9"/>
      <c r="H69" s="9"/>
      <c r="I69" s="9"/>
      <c r="J69" s="9"/>
      <c r="K69" s="9"/>
    </row>
    <row r="70" spans="3:11">
      <c r="C70" s="2" t="s">
        <v>49</v>
      </c>
      <c r="F70" s="9">
        <f>E29</f>
        <v>0</v>
      </c>
      <c r="G70" s="9"/>
      <c r="H70" s="9"/>
      <c r="I70" s="9"/>
      <c r="J70" s="9"/>
      <c r="K70" s="9"/>
    </row>
    <row r="72" spans="3:11">
      <c r="C72" s="2" t="s">
        <v>50</v>
      </c>
      <c r="F72" s="9"/>
      <c r="G72" s="9"/>
      <c r="H72" s="9"/>
      <c r="I72" s="9"/>
      <c r="J72" s="9"/>
      <c r="K72" s="9"/>
    </row>
    <row r="73" spans="3:11">
      <c r="C73" s="2" t="s">
        <v>51</v>
      </c>
      <c r="G73" s="9"/>
      <c r="H73" s="9"/>
      <c r="I73" s="9"/>
      <c r="J73" s="9"/>
      <c r="K73" s="9"/>
    </row>
    <row r="74" spans="3:11">
      <c r="C74" s="25" t="s">
        <v>52</v>
      </c>
      <c r="G74" s="30"/>
      <c r="H74" s="30"/>
      <c r="I74" s="30"/>
      <c r="J74" s="30"/>
      <c r="K74" s="30"/>
    </row>
    <row r="75" spans="3:11">
      <c r="K75" s="9"/>
    </row>
    <row r="76" spans="3:11">
      <c r="C76" s="10" t="s">
        <v>27</v>
      </c>
      <c r="D76" s="10"/>
      <c r="E76" s="10"/>
      <c r="F76" s="12" t="s">
        <v>28</v>
      </c>
      <c r="G76" s="12" t="s">
        <v>29</v>
      </c>
      <c r="I76" s="10" t="s">
        <v>26</v>
      </c>
      <c r="J76" s="11"/>
      <c r="K76" s="11"/>
    </row>
    <row r="77" spans="3:11">
      <c r="C77" s="16" t="s">
        <v>23</v>
      </c>
      <c r="F77" s="7"/>
      <c r="G77" s="56"/>
      <c r="I77" s="29" t="s">
        <v>18</v>
      </c>
      <c r="K77" s="7"/>
    </row>
    <row r="78" spans="3:11">
      <c r="C78" s="16" t="s">
        <v>24</v>
      </c>
      <c r="F78" s="9"/>
      <c r="G78" s="56"/>
      <c r="I78" s="16" t="s">
        <v>47</v>
      </c>
      <c r="K78" s="9"/>
    </row>
    <row r="79" spans="3:11">
      <c r="C79" s="17" t="s">
        <v>46</v>
      </c>
      <c r="D79" s="18"/>
      <c r="E79" s="18"/>
      <c r="F79" s="19"/>
      <c r="G79" s="57"/>
      <c r="I79" s="16" t="s">
        <v>48</v>
      </c>
      <c r="K79" s="9"/>
    </row>
    <row r="80" spans="3:11">
      <c r="C80" s="1" t="s">
        <v>25</v>
      </c>
      <c r="F80" s="20"/>
      <c r="G80" s="58"/>
      <c r="I80" s="21" t="s">
        <v>9</v>
      </c>
      <c r="J80" s="22"/>
      <c r="K80" s="23"/>
    </row>
    <row r="82" spans="3:11">
      <c r="C82" s="1"/>
      <c r="F82" s="32" t="s">
        <v>21</v>
      </c>
      <c r="G82" s="33"/>
      <c r="H82" s="33"/>
      <c r="I82" s="33"/>
      <c r="J82" s="33"/>
      <c r="K82" s="53"/>
    </row>
    <row r="83" spans="3:11">
      <c r="F83" s="34" t="s">
        <v>22</v>
      </c>
      <c r="G83" s="35"/>
      <c r="H83" s="35"/>
      <c r="I83" s="35"/>
      <c r="J83" s="35"/>
      <c r="K83" s="54"/>
    </row>
  </sheetData>
  <pageMargins left="0.7" right="0.7" top="0.75" bottom="0.75" header="0.3" footer="0.3"/>
  <pageSetup scale="64" orientation="portrait" r:id="rId1"/>
  <rowBreaks count="1" manualBreakCount="1">
    <brk id="50" max="11" man="1"/>
  </rowBreaks>
  <colBreaks count="1" manualBreakCount="1">
    <brk id="12" max="7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12</vt:i4>
      </vt:variant>
    </vt:vector>
  </HeadingPairs>
  <TitlesOfParts>
    <vt:vector size="15" baseType="lpstr">
      <vt:lpstr>Master_Sheet</vt:lpstr>
      <vt:lpstr>Track_Record</vt:lpstr>
      <vt:lpstr>Public_LBO</vt:lpstr>
      <vt:lpstr>Analysis_Date</vt:lpstr>
      <vt:lpstr>Avg_Carry</vt:lpstr>
      <vt:lpstr>Avg_Fund_Life</vt:lpstr>
      <vt:lpstr>Avg_Mgmt_Fee</vt:lpstr>
      <vt:lpstr>Gross_Net_Spread</vt:lpstr>
      <vt:lpstr>Hurdle</vt:lpstr>
      <vt:lpstr>Portco_Data</vt:lpstr>
      <vt:lpstr>Portco_Fields</vt:lpstr>
      <vt:lpstr>Portco_Names</vt:lpstr>
      <vt:lpstr>Master_Sheet!Print_Area</vt:lpstr>
      <vt:lpstr>Public_LBO!Print_Area</vt:lpstr>
      <vt:lpstr>Track_Record!Print_Area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BIWS</dc:creator>
  <cp:lastModifiedBy>Brian DeChesare</cp:lastModifiedBy>
  <dcterms:created xsi:type="dcterms:W3CDTF">2014-04-29T19:37:43Z</dcterms:created>
  <dcterms:modified xsi:type="dcterms:W3CDTF">2025-12-10T10:40:50Z</dcterms:modified>
</cp:coreProperties>
</file>