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dech\BIWS Dropbox\Brian DeChesare\BIWS-All-Courses\130-PE-Secondary-FoF-Modeling\YouTube\PE-FOF-04-Waterfall\"/>
    </mc:Choice>
  </mc:AlternateContent>
  <xr:revisionPtr revIDLastSave="0" documentId="13_ncr:1_{A8393FDA-960C-46E5-9BE2-00947E428C51}" xr6:coauthVersionLast="47" xr6:coauthVersionMax="47" xr10:uidLastSave="{00000000-0000-0000-0000-000000000000}"/>
  <bookViews>
    <workbookView xWindow="-103" yWindow="-103" windowWidth="33120" windowHeight="18000" xr2:uid="{EDD8FB2E-02A0-4FC8-886F-DA86DC7E7AED}"/>
  </bookViews>
  <sheets>
    <sheet name="PE_Waterfall" sheetId="24" r:id="rId1"/>
  </sheets>
  <externalReferences>
    <externalReference r:id="rId2"/>
  </externalReferences>
  <definedNames>
    <definedName name="Carry">PE_Waterfall!$E$22</definedName>
    <definedName name="CIQWBGuid" hidden="1">"fbaa6385-7a78-4654-88c5-4b2846f87198"</definedName>
    <definedName name="GP_Commit">PE_Waterfall!$E$13</definedName>
    <definedName name="Gross_MOIC">PE_Waterfall!$J$9</definedName>
    <definedName name="Inv_to_Comm_Capital">PE_Waterfall!$E$12</definedName>
    <definedName name="Inv_Years">PE_Waterfall!$J$11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44964.5488773148</definedName>
    <definedName name="IQ_QTD" hidden="1">750000</definedName>
    <definedName name="IQ_TODAY" hidden="1">0</definedName>
    <definedName name="IQ_YTDMONTH" hidden="1">130000</definedName>
    <definedName name="IQRNewsSearchAE23" hidden="1">'[1]News Search'!$AF$23</definedName>
    <definedName name="IQRNewsSearchEL11" hidden="1">'[1]News Search'!$EM$11:$EO$11</definedName>
    <definedName name="IQRNewsSearchEL15" hidden="1">'[1]News Search'!$EM$15</definedName>
    <definedName name="IQRNewsSearchEL16" hidden="1">'[1]News Search'!$EM$16:$EO$16</definedName>
    <definedName name="IQRNewsSearchEL18" hidden="1">'[1]News Search'!$EM$18:$EO$18</definedName>
    <definedName name="LP_Com_Capital">PE_Waterfall!$E$15</definedName>
    <definedName name="LP_Inv_Capital">PE_Waterfall!$E$16</definedName>
    <definedName name="Mgmt_Fee_1">PE_Waterfall!$E$18</definedName>
    <definedName name="Mgmt_Fee_2">PE_Waterfall!$E$19</definedName>
    <definedName name="Pct_Carry_Comp">PE_Waterfall!$E$23</definedName>
    <definedName name="Pref_Rate">PE_Waterfall!$E$21</definedName>
    <definedName name="_xlnm.Print_Area" localSheetId="0">PE_Waterfall!$A$1:$S$76</definedName>
    <definedName name="Realiz_Years">PE_Waterfall!$J$12</definedName>
  </definedNames>
  <calcPr calcId="191029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24" l="1"/>
  <c r="J13" i="24" l="1"/>
  <c r="G28" i="24"/>
  <c r="E58" i="24"/>
  <c r="E46" i="24"/>
  <c r="E38" i="24"/>
  <c r="I8" i="24"/>
  <c r="G26" i="24"/>
  <c r="G46" i="24" s="1"/>
  <c r="H25" i="24"/>
  <c r="H28" i="24" s="1"/>
  <c r="E15" i="24"/>
  <c r="G38" i="24" l="1"/>
  <c r="G58" i="24"/>
  <c r="H26" i="24"/>
  <c r="E16" i="24"/>
  <c r="I25" i="24"/>
  <c r="I28" i="24" l="1"/>
  <c r="G27" i="24"/>
  <c r="H46" i="24"/>
  <c r="H58" i="24"/>
  <c r="H38" i="24"/>
  <c r="I26" i="24"/>
  <c r="J25" i="24"/>
  <c r="H27" i="24" l="1"/>
  <c r="H40" i="24" s="1"/>
  <c r="G40" i="24"/>
  <c r="I46" i="24"/>
  <c r="I58" i="24"/>
  <c r="I38" i="24"/>
  <c r="J26" i="24"/>
  <c r="K25" i="24"/>
  <c r="I27" i="24" l="1"/>
  <c r="I40" i="24" s="1"/>
  <c r="J58" i="24"/>
  <c r="J38" i="24"/>
  <c r="J46" i="24"/>
  <c r="K26" i="24"/>
  <c r="L25" i="24"/>
  <c r="L29" i="24" s="1"/>
  <c r="J27" i="24" l="1"/>
  <c r="K27" i="24" s="1"/>
  <c r="L26" i="24"/>
  <c r="L58" i="24" s="1"/>
  <c r="K58" i="24"/>
  <c r="K38" i="24"/>
  <c r="K46" i="24"/>
  <c r="M25" i="24"/>
  <c r="M29" i="24" l="1"/>
  <c r="L46" i="24"/>
  <c r="L27" i="24"/>
  <c r="M27" i="24" s="1"/>
  <c r="N27" i="24" s="1"/>
  <c r="L38" i="24"/>
  <c r="M26" i="24"/>
  <c r="M58" i="24" s="1"/>
  <c r="N25" i="24"/>
  <c r="M46" i="24" l="1"/>
  <c r="N29" i="24"/>
  <c r="M38" i="24"/>
  <c r="O27" i="24"/>
  <c r="P27" i="24" s="1"/>
  <c r="N26" i="24"/>
  <c r="N58" i="24" s="1"/>
  <c r="O25" i="24"/>
  <c r="O29" i="24" s="1"/>
  <c r="N46" i="24" l="1"/>
  <c r="N38" i="24"/>
  <c r="Q27" i="24"/>
  <c r="R27" i="24" s="1"/>
  <c r="O26" i="24"/>
  <c r="O58" i="24" s="1"/>
  <c r="O46" i="24"/>
  <c r="P25" i="24"/>
  <c r="P29" i="24" s="1"/>
  <c r="O38" i="24" l="1"/>
  <c r="P26" i="24"/>
  <c r="P58" i="24" s="1"/>
  <c r="Q25" i="24"/>
  <c r="Q29" i="24" s="1"/>
  <c r="P46" i="24" l="1"/>
  <c r="P38" i="24"/>
  <c r="Q26" i="24"/>
  <c r="Q58" i="24" s="1"/>
  <c r="R25" i="24"/>
  <c r="R29" i="24" l="1"/>
  <c r="I29" i="24"/>
  <c r="G29" i="24"/>
  <c r="H29" i="24"/>
  <c r="J29" i="24"/>
  <c r="K29" i="24"/>
  <c r="R26" i="24"/>
  <c r="R58" i="24" s="1"/>
  <c r="Q46" i="24"/>
  <c r="Q38" i="24"/>
  <c r="G41" i="24" l="1"/>
  <c r="R38" i="24"/>
  <c r="R46" i="24"/>
  <c r="R36" i="24"/>
  <c r="Q36" i="24"/>
  <c r="P36" i="24"/>
  <c r="O36" i="24"/>
  <c r="K36" i="24"/>
  <c r="K28" i="24" s="1"/>
  <c r="K40" i="24" s="1"/>
  <c r="J36" i="24"/>
  <c r="J28" i="24" s="1"/>
  <c r="J40" i="24" s="1"/>
  <c r="G36" i="24"/>
  <c r="N36" i="24"/>
  <c r="L36" i="24"/>
  <c r="H36" i="24"/>
  <c r="M36" i="24"/>
  <c r="I36" i="24"/>
  <c r="G42" i="24" l="1"/>
  <c r="H39" i="24" s="1"/>
  <c r="H41" i="24" s="1"/>
  <c r="G44" i="24"/>
  <c r="R28" i="24"/>
  <c r="R40" i="24" s="1"/>
  <c r="N28" i="24"/>
  <c r="N40" i="24" s="1"/>
  <c r="O28" i="24"/>
  <c r="O40" i="24" s="1"/>
  <c r="Q28" i="24"/>
  <c r="Q40" i="24" s="1"/>
  <c r="M28" i="24"/>
  <c r="M40" i="24" s="1"/>
  <c r="P28" i="24"/>
  <c r="P40" i="24" s="1"/>
  <c r="L28" i="24"/>
  <c r="L40" i="24" s="1"/>
  <c r="E36" i="24"/>
  <c r="G49" i="24" l="1"/>
  <c r="G56" i="24" s="1"/>
  <c r="H42" i="24"/>
  <c r="I39" i="24" s="1"/>
  <c r="H44" i="24"/>
  <c r="B2" i="24"/>
  <c r="I41" i="24" l="1"/>
  <c r="G50" i="24"/>
  <c r="H47" i="24" s="1"/>
  <c r="G60" i="24"/>
  <c r="G61" i="24" s="1"/>
  <c r="G52" i="24"/>
  <c r="G30" i="24"/>
  <c r="H30" i="24"/>
  <c r="H48" i="24" l="1"/>
  <c r="H49" i="24" s="1"/>
  <c r="G62" i="24"/>
  <c r="H59" i="24" s="1"/>
  <c r="I42" i="24"/>
  <c r="J39" i="24" s="1"/>
  <c r="I44" i="24"/>
  <c r="G66" i="24"/>
  <c r="I30" i="24"/>
  <c r="H50" i="24" l="1"/>
  <c r="I47" i="24" s="1"/>
  <c r="H60" i="24"/>
  <c r="H52" i="24"/>
  <c r="H56" i="24"/>
  <c r="G69" i="24"/>
  <c r="G72" i="24" s="1"/>
  <c r="G68" i="24"/>
  <c r="G71" i="24" s="1"/>
  <c r="J41" i="24"/>
  <c r="K30" i="24"/>
  <c r="J30" i="24"/>
  <c r="L30" i="24"/>
  <c r="H61" i="24" l="1"/>
  <c r="H62" i="24" s="1"/>
  <c r="I59" i="24" s="1"/>
  <c r="J42" i="24"/>
  <c r="K39" i="24" s="1"/>
  <c r="J44" i="24"/>
  <c r="I48" i="24"/>
  <c r="I49" i="24" s="1"/>
  <c r="M30" i="24"/>
  <c r="H66" i="24" l="1"/>
  <c r="H68" i="24" s="1"/>
  <c r="H71" i="24" s="1"/>
  <c r="I60" i="24"/>
  <c r="I52" i="24"/>
  <c r="I56" i="24"/>
  <c r="I50" i="24"/>
  <c r="J47" i="24" s="1"/>
  <c r="K41" i="24"/>
  <c r="N30" i="24"/>
  <c r="H69" i="24" l="1"/>
  <c r="H72" i="24" s="1"/>
  <c r="K42" i="24"/>
  <c r="L39" i="24" s="1"/>
  <c r="K44" i="24"/>
  <c r="J48" i="24"/>
  <c r="J49" i="24" s="1"/>
  <c r="I61" i="24"/>
  <c r="I66" i="24" s="1"/>
  <c r="P30" i="24"/>
  <c r="O30" i="24"/>
  <c r="I68" i="24" l="1"/>
  <c r="I71" i="24" s="1"/>
  <c r="I69" i="24"/>
  <c r="I72" i="24" s="1"/>
  <c r="J50" i="24"/>
  <c r="K47" i="24" s="1"/>
  <c r="J60" i="24"/>
  <c r="J52" i="24"/>
  <c r="J56" i="24"/>
  <c r="I62" i="24"/>
  <c r="J59" i="24" s="1"/>
  <c r="L41" i="24"/>
  <c r="L42" i="24" s="1"/>
  <c r="M39" i="24" s="1"/>
  <c r="Q30" i="24"/>
  <c r="M41" i="24" l="1"/>
  <c r="L44" i="24"/>
  <c r="J61" i="24"/>
  <c r="J66" i="24" s="1"/>
  <c r="K48" i="24"/>
  <c r="K49" i="24" s="1"/>
  <c r="R30" i="24"/>
  <c r="K50" i="24" l="1"/>
  <c r="L47" i="24" s="1"/>
  <c r="K60" i="24"/>
  <c r="K52" i="24"/>
  <c r="K56" i="24"/>
  <c r="J68" i="24"/>
  <c r="J71" i="24" s="1"/>
  <c r="J69" i="24"/>
  <c r="J72" i="24" s="1"/>
  <c r="J62" i="24"/>
  <c r="K59" i="24" s="1"/>
  <c r="M42" i="24"/>
  <c r="N39" i="24" s="1"/>
  <c r="M44" i="24"/>
  <c r="E29" i="24"/>
  <c r="K61" i="24" l="1"/>
  <c r="K66" i="24" s="1"/>
  <c r="N41" i="24"/>
  <c r="L48" i="24"/>
  <c r="L49" i="24" s="1"/>
  <c r="E27" i="24"/>
  <c r="K62" i="24" l="1"/>
  <c r="L59" i="24" s="1"/>
  <c r="L60" i="24"/>
  <c r="L52" i="24"/>
  <c r="L56" i="24"/>
  <c r="N42" i="24"/>
  <c r="O39" i="24" s="1"/>
  <c r="N44" i="24"/>
  <c r="L50" i="24"/>
  <c r="M47" i="24" s="1"/>
  <c r="M48" i="24" s="1"/>
  <c r="M49" i="24" s="1"/>
  <c r="K68" i="24"/>
  <c r="K71" i="24" s="1"/>
  <c r="K69" i="24"/>
  <c r="K72" i="24" s="1"/>
  <c r="E28" i="24"/>
  <c r="E30" i="24" s="1"/>
  <c r="L61" i="24" l="1"/>
  <c r="L66" i="24" s="1"/>
  <c r="L68" i="24" s="1"/>
  <c r="L71" i="24" s="1"/>
  <c r="M50" i="24"/>
  <c r="N47" i="24" s="1"/>
  <c r="M60" i="24"/>
  <c r="M52" i="24"/>
  <c r="M56" i="24"/>
  <c r="O41" i="24"/>
  <c r="E33" i="24"/>
  <c r="E35" i="24" s="1"/>
  <c r="E32" i="24"/>
  <c r="L69" i="24" l="1"/>
  <c r="L72" i="24" s="1"/>
  <c r="L62" i="24"/>
  <c r="M59" i="24" s="1"/>
  <c r="M61" i="24" s="1"/>
  <c r="M62" i="24" s="1"/>
  <c r="N59" i="24" s="1"/>
  <c r="O44" i="24"/>
  <c r="O42" i="24"/>
  <c r="P39" i="24" s="1"/>
  <c r="N48" i="24"/>
  <c r="N49" i="24" s="1"/>
  <c r="E40" i="24"/>
  <c r="N50" i="24" l="1"/>
  <c r="O47" i="24" s="1"/>
  <c r="O48" i="24" s="1"/>
  <c r="O49" i="24" s="1"/>
  <c r="O56" i="24" s="1"/>
  <c r="N60" i="24"/>
  <c r="N52" i="24"/>
  <c r="N56" i="24"/>
  <c r="P41" i="24"/>
  <c r="M66" i="24"/>
  <c r="N61" i="24" l="1"/>
  <c r="N66" i="24" s="1"/>
  <c r="M69" i="24"/>
  <c r="M72" i="24" s="1"/>
  <c r="M68" i="24"/>
  <c r="M71" i="24" s="1"/>
  <c r="P42" i="24"/>
  <c r="Q39" i="24" s="1"/>
  <c r="P44" i="24"/>
  <c r="O50" i="24"/>
  <c r="P47" i="24" s="1"/>
  <c r="O60" i="24"/>
  <c r="O52" i="24"/>
  <c r="N62" i="24" l="1"/>
  <c r="O59" i="24" s="1"/>
  <c r="O61" i="24" s="1"/>
  <c r="P48" i="24"/>
  <c r="P49" i="24" s="1"/>
  <c r="Q41" i="24"/>
  <c r="N69" i="24"/>
  <c r="N72" i="24" s="1"/>
  <c r="N68" i="24"/>
  <c r="N71" i="24" s="1"/>
  <c r="O66" i="24" l="1"/>
  <c r="P60" i="24"/>
  <c r="P52" i="24"/>
  <c r="O62" i="24"/>
  <c r="P59" i="24" s="1"/>
  <c r="Q42" i="24"/>
  <c r="R39" i="24" s="1"/>
  <c r="Q44" i="24"/>
  <c r="P50" i="24"/>
  <c r="Q47" i="24" s="1"/>
  <c r="P56" i="24"/>
  <c r="P61" i="24" l="1"/>
  <c r="P66" i="24" s="1"/>
  <c r="Q48" i="24"/>
  <c r="R41" i="24"/>
  <c r="O68" i="24"/>
  <c r="O71" i="24" s="1"/>
  <c r="O69" i="24"/>
  <c r="O72" i="24" s="1"/>
  <c r="R42" i="24" l="1"/>
  <c r="R44" i="24"/>
  <c r="E41" i="24"/>
  <c r="E42" i="24" s="1"/>
  <c r="P68" i="24"/>
  <c r="P71" i="24" s="1"/>
  <c r="P69" i="24"/>
  <c r="P72" i="24" s="1"/>
  <c r="Q49" i="24"/>
  <c r="P62" i="24"/>
  <c r="Q59" i="24" s="1"/>
  <c r="E44" i="24" l="1"/>
  <c r="Q50" i="24"/>
  <c r="R47" i="24" s="1"/>
  <c r="Q60" i="24"/>
  <c r="Q52" i="24"/>
  <c r="Q56" i="24"/>
  <c r="R48" i="24" l="1"/>
  <c r="E48" i="24" s="1"/>
  <c r="Q61" i="24"/>
  <c r="Q66" i="24" l="1"/>
  <c r="R49" i="24"/>
  <c r="Q62" i="24"/>
  <c r="R59" i="24" s="1"/>
  <c r="R50" i="24" l="1"/>
  <c r="R60" i="24"/>
  <c r="E60" i="24" s="1"/>
  <c r="R52" i="24"/>
  <c r="R56" i="24"/>
  <c r="E56" i="24" s="1"/>
  <c r="E49" i="24"/>
  <c r="E50" i="24" s="1"/>
  <c r="Q68" i="24"/>
  <c r="Q69" i="24"/>
  <c r="Q71" i="24" l="1"/>
  <c r="E54" i="24"/>
  <c r="E52" i="24"/>
  <c r="Q72" i="24"/>
  <c r="R61" i="24"/>
  <c r="R62" i="24" s="1"/>
  <c r="R66" i="24" l="1"/>
  <c r="E61" i="24"/>
  <c r="E64" i="24" l="1"/>
  <c r="E62" i="24"/>
  <c r="R68" i="24"/>
  <c r="R69" i="24"/>
  <c r="E66" i="24"/>
  <c r="R72" i="24" l="1"/>
  <c r="E72" i="24" s="1"/>
  <c r="E69" i="24"/>
  <c r="R71" i="24"/>
  <c r="E71" i="24" s="1"/>
  <c r="E68" i="24"/>
  <c r="E74" i="24" l="1"/>
  <c r="J16" i="24"/>
  <c r="E75" i="24"/>
</calcChain>
</file>

<file path=xl/sharedStrings.xml><?xml version="1.0" encoding="utf-8"?>
<sst xmlns="http://schemas.openxmlformats.org/spreadsheetml/2006/main" count="109" uniqueCount="59">
  <si>
    <t>x</t>
  </si>
  <si>
    <t>($ in Millions USD)</t>
  </si>
  <si>
    <t>Units:</t>
  </si>
  <si>
    <t>Invested Capital % Committed Capital:</t>
  </si>
  <si>
    <t>%</t>
  </si>
  <si>
    <t>Preferred Hurdle Rate:</t>
  </si>
  <si>
    <t>GP Carried Interest:</t>
  </si>
  <si>
    <t>Beginning Balance:</t>
  </si>
  <si>
    <t>Ending Balance:</t>
  </si>
  <si>
    <t>Hurdle Rate Check:</t>
  </si>
  <si>
    <t>Carried Interest Check:</t>
  </si>
  <si>
    <t>GP Cash Flow:</t>
  </si>
  <si>
    <t>Cumulative LP Profit:</t>
  </si>
  <si>
    <t>Cumulative GP Profit:</t>
  </si>
  <si>
    <t>Total:</t>
  </si>
  <si>
    <t>LP Cash Flow:</t>
  </si>
  <si>
    <t>Carried Interest Check (LP):</t>
  </si>
  <si>
    <t>Carried Interest Check (GP):</t>
  </si>
  <si>
    <t>$ M</t>
  </si>
  <si>
    <t>LP Net Cash Flow:</t>
  </si>
  <si>
    <t>GP Catch-Up:</t>
  </si>
  <si>
    <t>GP Commitment:</t>
  </si>
  <si>
    <t>Name</t>
  </si>
  <si>
    <t>Remaining Cash Flow to Distribute:</t>
  </si>
  <si>
    <t>Return of Capital:</t>
  </si>
  <si>
    <t>Preferred Hurdle:</t>
  </si>
  <si>
    <t># Years</t>
  </si>
  <si>
    <t>Fund Name:</t>
  </si>
  <si>
    <t>Red Fork Fund I</t>
  </si>
  <si>
    <t>(-) Capital Invested Into Portfolio Companies:</t>
  </si>
  <si>
    <t>(-) Management Fees:</t>
  </si>
  <si>
    <t>(+) Realizations:</t>
  </si>
  <si>
    <t>Total Pre-Carry Cash Flows:</t>
  </si>
  <si>
    <t>Pre-Carry, Post-Management Fee MOIC:</t>
  </si>
  <si>
    <t>Pre-Carry, Post-Management Fee IRR:</t>
  </si>
  <si>
    <t>Investment Period:</t>
  </si>
  <si>
    <t>Fund Size:</t>
  </si>
  <si>
    <t>LP Invested Capital:</t>
  </si>
  <si>
    <t>Realization Time:</t>
  </si>
  <si>
    <t>Gross MOIC:</t>
  </si>
  <si>
    <t>Remaining Cost Basis:</t>
  </si>
  <si>
    <t>Pre-Carry Cash Flows on LP Committed Capital:</t>
  </si>
  <si>
    <t>Management Fee - Post-Investment Period:</t>
  </si>
  <si>
    <t>(+) Capital Call:</t>
  </si>
  <si>
    <t>(-) Current Paydown:</t>
  </si>
  <si>
    <t>(+) Accrual:</t>
  </si>
  <si>
    <t>Total Fund Years:</t>
  </si>
  <si>
    <t># of Partners:</t>
  </si>
  <si>
    <t># People</t>
  </si>
  <si>
    <t>% Carry Paid to Non-Partners:</t>
  </si>
  <si>
    <t>Carry per Partner per Year:</t>
  </si>
  <si>
    <t>$ M / P / Yr</t>
  </si>
  <si>
    <t>Assumptions:</t>
  </si>
  <si>
    <t>Fund Economics:</t>
  </si>
  <si>
    <t>Fund Performance &amp; Carry:</t>
  </si>
  <si>
    <t>LP Committed Capital:</t>
  </si>
  <si>
    <t>Clears Hurdle Rate?</t>
  </si>
  <si>
    <t>Y / N</t>
  </si>
  <si>
    <t>Management Fee - Investment Period: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</si>
</sst>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General&quot;E&quot;"/>
    <numFmt numFmtId="165" formatCode="_(* #,##0.0_);_(* \(#,##0.0\);_(* &quot;-&quot;?_);_(@_)"/>
    <numFmt numFmtId="166" formatCode="_(0.0%_);\(0.0%\);_(* &quot;-&quot;?_);_(@_)_%"/>
    <numFmt numFmtId="167" formatCode="_(0.00%_);\(0.00%\);_(* &quot;-&quot;?_);_(@_)_%"/>
    <numFmt numFmtId="168" formatCode="0.000%"/>
    <numFmt numFmtId="169" formatCode="0.0%;\(0.0%\)"/>
    <numFmt numFmtId="170" formatCode="yyyy\A"/>
    <numFmt numFmtId="171" formatCode="_(&quot;$&quot;* #,##0.0_);_(&quot;$&quot;* \(#,##0.0\);_(&quot;$&quot;* &quot;-&quot;?_);_(@_)"/>
    <numFmt numFmtId="172" formatCode="0.0\ \x"/>
    <numFmt numFmtId="173" formatCode="0.00\ \x"/>
    <numFmt numFmtId="174" formatCode="_(0.0%_);\(0.0%\);_(&quot;–&quot;_);_(@_)"/>
    <numFmt numFmtId="175" formatCode="_(* #,##0.000_);_(* \(#,##0.000\);_(* &quot;-&quot;?_);_(@_)"/>
  </numFmts>
  <fonts count="27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rgb="FF0000FF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2"/>
      <color rgb="FF00B05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theme="0"/>
      <name val="Calibri"/>
      <family val="2"/>
    </font>
    <font>
      <i/>
      <sz val="12"/>
      <name val="Calibri"/>
      <family val="2"/>
    </font>
    <font>
      <b/>
      <sz val="14"/>
      <name val="Calibri"/>
      <family val="2"/>
    </font>
    <font>
      <b/>
      <i/>
      <sz val="12"/>
      <color theme="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/>
      <diagonal/>
    </border>
  </borders>
  <cellStyleXfs count="10">
    <xf numFmtId="0" fontId="0" fillId="0" borderId="0"/>
    <xf numFmtId="0" fontId="8" fillId="5" borderId="6" applyNumberFormat="0" applyFont="0" applyAlignment="0" applyProtection="0"/>
    <xf numFmtId="0" fontId="24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4" fillId="0" borderId="0"/>
    <xf numFmtId="0" fontId="8" fillId="0" borderId="0"/>
  </cellStyleXfs>
  <cellXfs count="79">
    <xf numFmtId="0" fontId="0" fillId="0" borderId="0" xfId="0"/>
    <xf numFmtId="0" fontId="9" fillId="6" borderId="6" xfId="1" applyFont="1" applyFill="1" applyAlignment="1">
      <alignment horizontal="centerContinuous"/>
    </xf>
    <xf numFmtId="169" fontId="9" fillId="6" borderId="6" xfId="1" applyNumberFormat="1" applyFont="1" applyFill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37" fontId="9" fillId="6" borderId="6" xfId="0" applyNumberFormat="1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5" fillId="2" borderId="0" xfId="0" applyFont="1" applyFill="1"/>
    <xf numFmtId="0" fontId="12" fillId="2" borderId="0" xfId="0" applyFont="1" applyFill="1"/>
    <xf numFmtId="0" fontId="17" fillId="0" borderId="0" xfId="0" applyFont="1"/>
    <xf numFmtId="165" fontId="10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0" fontId="18" fillId="0" borderId="0" xfId="0" applyFont="1"/>
    <xf numFmtId="165" fontId="10" fillId="0" borderId="1" xfId="0" applyNumberFormat="1" applyFont="1" applyBorder="1" applyAlignment="1">
      <alignment horizontal="right"/>
    </xf>
    <xf numFmtId="165" fontId="10" fillId="0" borderId="1" xfId="0" applyNumberFormat="1" applyFont="1" applyBorder="1"/>
    <xf numFmtId="167" fontId="10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16" fillId="4" borderId="1" xfId="0" applyFont="1" applyFill="1" applyBorder="1"/>
    <xf numFmtId="0" fontId="16" fillId="4" borderId="1" xfId="0" applyFont="1" applyFill="1" applyBorder="1" applyAlignment="1">
      <alignment horizontal="center"/>
    </xf>
    <xf numFmtId="0" fontId="14" fillId="0" borderId="0" xfId="0" applyFont="1" applyAlignment="1">
      <alignment horizontal="left" indent="1"/>
    </xf>
    <xf numFmtId="0" fontId="14" fillId="0" borderId="1" xfId="0" applyFont="1" applyBorder="1" applyAlignment="1">
      <alignment horizontal="left" indent="1"/>
    </xf>
    <xf numFmtId="165" fontId="16" fillId="0" borderId="0" xfId="0" applyNumberFormat="1" applyFont="1"/>
    <xf numFmtId="165" fontId="10" fillId="0" borderId="0" xfId="0" applyNumberFormat="1" applyFont="1"/>
    <xf numFmtId="168" fontId="13" fillId="0" borderId="0" xfId="0" applyNumberFormat="1" applyFont="1"/>
    <xf numFmtId="165" fontId="19" fillId="0" borderId="0" xfId="0" applyNumberFormat="1" applyFont="1"/>
    <xf numFmtId="0" fontId="13" fillId="0" borderId="0" xfId="0" applyFont="1" applyAlignment="1">
      <alignment horizontal="left"/>
    </xf>
    <xf numFmtId="0" fontId="13" fillId="3" borderId="7" xfId="0" applyFont="1" applyFill="1" applyBorder="1"/>
    <xf numFmtId="165" fontId="16" fillId="3" borderId="2" xfId="0" applyNumberFormat="1" applyFont="1" applyFill="1" applyBorder="1"/>
    <xf numFmtId="0" fontId="21" fillId="0" borderId="0" xfId="0" applyFont="1"/>
    <xf numFmtId="166" fontId="21" fillId="0" borderId="0" xfId="0" applyNumberFormat="1" applyFont="1" applyAlignment="1">
      <alignment horizontal="right"/>
    </xf>
    <xf numFmtId="0" fontId="22" fillId="0" borderId="0" xfId="0" applyFont="1"/>
    <xf numFmtId="164" fontId="12" fillId="2" borderId="0" xfId="0" applyNumberFormat="1" applyFont="1" applyFill="1"/>
    <xf numFmtId="170" fontId="15" fillId="2" borderId="1" xfId="0" applyNumberFormat="1" applyFont="1" applyFill="1" applyBorder="1" applyAlignment="1">
      <alignment horizontal="center"/>
    </xf>
    <xf numFmtId="164" fontId="20" fillId="2" borderId="0" xfId="0" applyNumberFormat="1" applyFont="1" applyFill="1" applyAlignment="1">
      <alignment horizontal="center"/>
    </xf>
    <xf numFmtId="165" fontId="21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171" fontId="10" fillId="0" borderId="0" xfId="0" applyNumberFormat="1" applyFont="1" applyAlignment="1">
      <alignment horizontal="right"/>
    </xf>
    <xf numFmtId="171" fontId="9" fillId="6" borderId="6" xfId="0" applyNumberFormat="1" applyFont="1" applyFill="1" applyBorder="1" applyAlignment="1">
      <alignment horizontal="right"/>
    </xf>
    <xf numFmtId="170" fontId="15" fillId="2" borderId="0" xfId="0" applyNumberFormat="1" applyFont="1" applyFill="1" applyAlignment="1">
      <alignment horizontal="centerContinuous"/>
    </xf>
    <xf numFmtId="170" fontId="20" fillId="2" borderId="1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5" fontId="10" fillId="0" borderId="8" xfId="0" applyNumberFormat="1" applyFont="1" applyBorder="1"/>
    <xf numFmtId="0" fontId="10" fillId="0" borderId="8" xfId="0" applyFont="1" applyBorder="1"/>
    <xf numFmtId="2" fontId="10" fillId="0" borderId="0" xfId="0" applyNumberFormat="1" applyFont="1"/>
    <xf numFmtId="171" fontId="9" fillId="6" borderId="6" xfId="1" applyNumberFormat="1" applyFont="1" applyFill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73" fontId="9" fillId="6" borderId="6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quotePrefix="1" applyFont="1"/>
    <xf numFmtId="166" fontId="5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quotePrefix="1" applyFont="1"/>
    <xf numFmtId="0" fontId="3" fillId="0" borderId="0" xfId="0" applyFont="1" applyAlignment="1">
      <alignment horizontal="left" indent="1"/>
    </xf>
    <xf numFmtId="0" fontId="11" fillId="0" borderId="8" xfId="0" applyFont="1" applyBorder="1" applyAlignment="1">
      <alignment horizontal="center"/>
    </xf>
    <xf numFmtId="0" fontId="13" fillId="3" borderId="5" xfId="0" applyFont="1" applyFill="1" applyBorder="1"/>
    <xf numFmtId="165" fontId="16" fillId="3" borderId="1" xfId="0" applyNumberFormat="1" applyFont="1" applyFill="1" applyBorder="1"/>
    <xf numFmtId="0" fontId="13" fillId="3" borderId="4" xfId="0" applyFont="1" applyFill="1" applyBorder="1"/>
    <xf numFmtId="165" fontId="16" fillId="3" borderId="3" xfId="0" applyNumberFormat="1" applyFont="1" applyFill="1" applyBorder="1"/>
    <xf numFmtId="172" fontId="16" fillId="3" borderId="3" xfId="0" applyNumberFormat="1" applyFont="1" applyFill="1" applyBorder="1"/>
    <xf numFmtId="174" fontId="16" fillId="3" borderId="1" xfId="0" applyNumberFormat="1" applyFont="1" applyFill="1" applyBorder="1"/>
    <xf numFmtId="171" fontId="10" fillId="0" borderId="0" xfId="0" applyNumberFormat="1" applyFont="1"/>
    <xf numFmtId="175" fontId="10" fillId="0" borderId="0" xfId="0" applyNumberFormat="1" applyFont="1"/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37" fontId="10" fillId="0" borderId="0" xfId="0" applyNumberFormat="1" applyFont="1" applyAlignment="1">
      <alignment horizontal="center"/>
    </xf>
    <xf numFmtId="170" fontId="23" fillId="4" borderId="1" xfId="0" applyNumberFormat="1" applyFont="1" applyFill="1" applyBorder="1" applyAlignment="1">
      <alignment horizontal="center"/>
    </xf>
    <xf numFmtId="170" fontId="15" fillId="2" borderId="9" xfId="0" applyNumberFormat="1" applyFont="1" applyFill="1" applyBorder="1" applyAlignment="1">
      <alignment horizontal="centerContinuous"/>
    </xf>
    <xf numFmtId="0" fontId="6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indent="1"/>
    </xf>
  </cellXfs>
  <cellStyles count="10">
    <cellStyle name="Normal" xfId="0" builtinId="0"/>
    <cellStyle name="Normal 2 2" xfId="2" xr:uid="{EB86F3F5-580E-4AFC-A94F-DD7E906F704A}"/>
    <cellStyle name="Normal 2 2 2" xfId="8" xr:uid="{C1205325-2429-4717-AD60-FCAF53B31FB0}"/>
    <cellStyle name="Normal 3 2 2" xfId="3" xr:uid="{B9E8C86B-038B-493E-B04E-ACA61E561665}"/>
    <cellStyle name="Normal 3 2 2 2" xfId="7" xr:uid="{8E05553A-FAF0-4116-8616-2F07F3F4F5E3}"/>
    <cellStyle name="Normal 3 3" xfId="6" xr:uid="{84F78BF9-88B4-44C5-B7F8-5245E10BE846}"/>
    <cellStyle name="Normal 3 3 2" xfId="9" xr:uid="{0E4F3ACC-6F38-49F5-B99F-3BF83FC7479B}"/>
    <cellStyle name="Normal 3 4" xfId="5" xr:uid="{84161684-DF64-4B3D-ABEA-093B7862D235}"/>
    <cellStyle name="Normal 5 2" xfId="4" xr:uid="{6ABA4660-063F-491D-8BA2-4F4BD4160D68}"/>
    <cellStyle name="Note" xfId="1" builtinId="10"/>
  </cellStyles>
  <dxfs count="0"/>
  <tableStyles count="0" defaultTableStyle="TableStyleMedium2" defaultPivotStyle="PivotStyleLight16"/>
  <colors>
    <mruColors>
      <color rgb="FF0000FF"/>
      <color rgb="FF17375E"/>
      <color rgb="FFC6D9F8"/>
      <color rgb="FFFFFF99"/>
      <color rgb="FFB2B2B2"/>
      <color rgb="FFC0504D"/>
      <color rgb="FF1F497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amiltonlane1.sharepoint.com/sites/Secondaries/Archive/Secondaries/Templates/Models/WIP/SFM%20Rocket%20Integration/SFM%20Rocket%20Combo.xlsb" TargetMode="External"/><Relationship Id="rId1" Type="http://schemas.openxmlformats.org/officeDocument/2006/relationships/externalLinkPath" Target="https://hamiltonlane1.sharepoint.com/sites/Secondaries/Archive/Secondaries/Templates/Models/WIP/SFM%20Rocket%20Integration/SFM%20Rocket%20Combo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I Comparison"/>
      <sheetName val="News Search"/>
      <sheetName val="Asset Pull"/>
      <sheetName val="CIQ Industries"/>
      <sheetName val="_CIQHiddenCacheSheet"/>
      <sheetName val="Buyout_Rocket"/>
      <sheetName val="Buyout"/>
      <sheetName val="Rocket Output"/>
      <sheetName val="Rocket Summary Charts"/>
      <sheetName val="Company Info"/>
      <sheetName val="Instructions"/>
      <sheetName val="Inputs"/>
      <sheetName val="Portfolio"/>
      <sheetName val="Tearsheets --&gt;"/>
      <sheetName val="VC"/>
      <sheetName val="Publics"/>
      <sheetName val="Real Assets"/>
      <sheetName val="Tearsheet Data"/>
      <sheetName val="Outputs --&gt;"/>
      <sheetName val="Summary Charts"/>
      <sheetName val="Roll-Up Output"/>
      <sheetName val="Calcs --&gt;"/>
      <sheetName val="PortCo Data"/>
      <sheetName val="Cash Flows"/>
      <sheetName val="FP Carry"/>
      <sheetName val="Unfunded"/>
      <sheetName val="IRR"/>
      <sheetName val="Deferral &amp; Recycling"/>
      <sheetName val="iLevel --&gt;"/>
      <sheetName val="iLevel- CFs"/>
      <sheetName val="iLevel- Assets"/>
      <sheetName val="iPut Comps"/>
      <sheetName val="Client_Fund"/>
      <sheetName val="Client Validation"/>
      <sheetName val="Fund Validation"/>
      <sheetName val="iLevel Field List"/>
      <sheetName val="Paste from iLEVEL &amp; DC--&gt;"/>
      <sheetName val="Deals"/>
      <sheetName val="Funds"/>
      <sheetName val="DealCloud Funds"/>
      <sheetName val="SF V Roll Up"/>
      <sheetName val="ROCKET Comparison"/>
    </sheetNames>
    <sheetDataSet>
      <sheetData sheetId="0" refreshError="1"/>
      <sheetData sheetId="1">
        <row r="11">
          <cell r="EM11" t="str">
            <v>IQKD1795235933</v>
          </cell>
          <cell r="EN11" t="str">
            <v>IQKD1781729825</v>
          </cell>
          <cell r="EO11" t="str">
            <v>IQKD1779772688</v>
          </cell>
        </row>
        <row r="15">
          <cell r="EM15" t="str">
            <v>IQKD1800401003</v>
          </cell>
        </row>
        <row r="16">
          <cell r="EM16" t="str">
            <v>IQKD1819510202</v>
          </cell>
          <cell r="EN16" t="str">
            <v>IQKD1791990257</v>
          </cell>
          <cell r="EO16" t="str">
            <v>IQKD1799325206</v>
          </cell>
        </row>
        <row r="18">
          <cell r="EM18" t="str">
            <v>IQKD1822180450</v>
          </cell>
          <cell r="EN18" t="str">
            <v>IQKD1799618974</v>
          </cell>
          <cell r="EO18" t="str">
            <v>IQKD1792359387</v>
          </cell>
        </row>
        <row r="23">
          <cell r="AF23" t="str">
            <v>Natural Gas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B086-DF72-4623-90B2-EFF16809FBF8}">
  <sheetPr>
    <pageSetUpPr autoPageBreaks="0"/>
  </sheetPr>
  <dimension ref="A2:R126"/>
  <sheetViews>
    <sheetView showGridLines="0" tabSelected="1" zoomScaleNormal="100" workbookViewId="0">
      <pane xSplit="5" topLeftCell="F1" activePane="topRight" state="frozen"/>
      <selection pane="topRight" activeCell="B2" sqref="B2"/>
    </sheetView>
  </sheetViews>
  <sheetFormatPr defaultColWidth="8.92578125" defaultRowHeight="15.9" outlineLevelRow="1"/>
  <cols>
    <col min="1" max="2" width="2.7109375" style="3" customWidth="1"/>
    <col min="3" max="3" width="39.140625" style="3" bestFit="1" customWidth="1"/>
    <col min="4" max="18" width="14" style="3" customWidth="1"/>
    <col min="19" max="19" width="2.640625" style="3" customWidth="1"/>
    <col min="20" max="16384" width="8.92578125" style="3"/>
  </cols>
  <sheetData>
    <row r="2" spans="1:18" ht="18.45">
      <c r="A2" s="6"/>
      <c r="B2" s="31" t="str">
        <f>E9&amp;" - Carried Interest Waterfall for Individual Fund"</f>
        <v>Red Fork Fund I - Carried Interest Waterfall for Individual Fund</v>
      </c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6"/>
      <c r="O2" s="6"/>
      <c r="P2" s="6"/>
      <c r="Q2" s="6"/>
      <c r="R2" s="6"/>
    </row>
    <row r="3" spans="1:18">
      <c r="A3" s="6"/>
      <c r="B3" s="7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.65" customHeight="1">
      <c r="D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.65" customHeight="1">
      <c r="B5" s="8"/>
      <c r="C5" s="9"/>
      <c r="D5" s="32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73"/>
    </row>
    <row r="6" spans="1:18" ht="15.65" customHeight="1">
      <c r="B6" s="8" t="s">
        <v>52</v>
      </c>
      <c r="C6" s="9"/>
      <c r="D6" s="34"/>
      <c r="E6" s="41"/>
      <c r="F6" s="41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18" ht="15.65" customHeight="1">
      <c r="D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5.65" customHeight="1">
      <c r="C8" s="18" t="s">
        <v>53</v>
      </c>
      <c r="D8" s="37" t="s">
        <v>2</v>
      </c>
      <c r="E8" s="18"/>
      <c r="G8" s="18" t="s">
        <v>54</v>
      </c>
      <c r="H8" s="18"/>
      <c r="I8" s="37" t="str">
        <f>$D$8</f>
        <v>Units:</v>
      </c>
      <c r="J8" s="18"/>
      <c r="K8" s="13"/>
      <c r="L8" s="13"/>
      <c r="M8" s="13"/>
      <c r="N8" s="13"/>
      <c r="O8" s="13"/>
      <c r="P8" s="13"/>
      <c r="Q8" s="13"/>
      <c r="R8" s="13"/>
    </row>
    <row r="9" spans="1:18" ht="15.65" customHeight="1">
      <c r="C9" s="74" t="s">
        <v>27</v>
      </c>
      <c r="D9" s="4" t="s">
        <v>22</v>
      </c>
      <c r="E9" s="1" t="s">
        <v>28</v>
      </c>
      <c r="G9" s="76" t="s">
        <v>39</v>
      </c>
      <c r="I9" s="4" t="s">
        <v>0</v>
      </c>
      <c r="J9" s="51">
        <v>2.5</v>
      </c>
    </row>
    <row r="10" spans="1:18" ht="15.65" customHeight="1">
      <c r="C10" s="74" t="s">
        <v>36</v>
      </c>
      <c r="D10" s="35" t="s">
        <v>18</v>
      </c>
      <c r="E10" s="47">
        <v>1000</v>
      </c>
      <c r="F10" s="65"/>
      <c r="G10" s="75"/>
    </row>
    <row r="11" spans="1:18" ht="15.65" customHeight="1">
      <c r="C11" s="75"/>
      <c r="F11" s="65"/>
      <c r="G11" s="76" t="s">
        <v>35</v>
      </c>
      <c r="I11" s="4" t="s">
        <v>26</v>
      </c>
      <c r="J11" s="5">
        <v>5</v>
      </c>
    </row>
    <row r="12" spans="1:18" ht="15.65" customHeight="1">
      <c r="C12" s="57" t="s">
        <v>3</v>
      </c>
      <c r="D12" s="4" t="s">
        <v>4</v>
      </c>
      <c r="E12" s="2">
        <v>0.9</v>
      </c>
      <c r="G12" s="76" t="s">
        <v>38</v>
      </c>
      <c r="I12" s="4" t="s">
        <v>26</v>
      </c>
      <c r="J12" s="5">
        <v>5</v>
      </c>
    </row>
    <row r="13" spans="1:18" ht="15.65" customHeight="1">
      <c r="C13" s="57" t="s">
        <v>21</v>
      </c>
      <c r="D13" s="4" t="s">
        <v>4</v>
      </c>
      <c r="E13" s="2">
        <v>0.02</v>
      </c>
      <c r="G13" s="76" t="s">
        <v>46</v>
      </c>
      <c r="I13" s="4" t="s">
        <v>26</v>
      </c>
      <c r="J13" s="71">
        <f>Inv_Years+Realiz_Years</f>
        <v>10</v>
      </c>
    </row>
    <row r="14" spans="1:18" ht="15.65" customHeight="1">
      <c r="C14" s="10"/>
      <c r="F14" s="65"/>
      <c r="G14" s="75"/>
    </row>
    <row r="15" spans="1:18" ht="15.65" customHeight="1">
      <c r="C15" s="76" t="s">
        <v>55</v>
      </c>
      <c r="D15" s="35" t="s">
        <v>18</v>
      </c>
      <c r="E15" s="17">
        <f>E10*(1-GP_Commit)</f>
        <v>980</v>
      </c>
      <c r="F15" s="65"/>
      <c r="G15" s="76" t="s">
        <v>47</v>
      </c>
      <c r="I15" s="4" t="s">
        <v>48</v>
      </c>
      <c r="J15" s="5">
        <v>5</v>
      </c>
    </row>
    <row r="16" spans="1:18" ht="15.65" customHeight="1">
      <c r="C16" s="76" t="s">
        <v>37</v>
      </c>
      <c r="D16" s="35" t="s">
        <v>18</v>
      </c>
      <c r="E16" s="17">
        <f>E15*Inv_to_Comm_Capital</f>
        <v>882</v>
      </c>
      <c r="F16" s="65"/>
      <c r="G16" s="76" t="s">
        <v>50</v>
      </c>
      <c r="I16" s="4" t="s">
        <v>51</v>
      </c>
      <c r="J16" s="38">
        <f>E72*(1-Pct_Carry_Comp)/$J$13/$J$15</f>
        <v>3.3806079999999996</v>
      </c>
    </row>
    <row r="17" spans="3:18" ht="15.65" customHeight="1">
      <c r="F17" s="70"/>
    </row>
    <row r="18" spans="3:18" ht="15.65" customHeight="1">
      <c r="C18" s="78" t="s">
        <v>58</v>
      </c>
      <c r="D18" s="4" t="s">
        <v>4</v>
      </c>
      <c r="E18" s="2">
        <v>0.02</v>
      </c>
    </row>
    <row r="19" spans="3:18" ht="15.65" customHeight="1">
      <c r="C19" s="76" t="s">
        <v>42</v>
      </c>
      <c r="D19" s="4" t="s">
        <v>4</v>
      </c>
      <c r="E19" s="2">
        <v>0.01</v>
      </c>
    </row>
    <row r="20" spans="3:18" ht="15.65" customHeight="1">
      <c r="C20" s="69"/>
      <c r="D20" s="69"/>
      <c r="E20" s="69"/>
      <c r="F20" s="65"/>
    </row>
    <row r="21" spans="3:18" ht="15.65" customHeight="1">
      <c r="C21" s="57" t="s">
        <v>5</v>
      </c>
      <c r="D21" s="4" t="s">
        <v>4</v>
      </c>
      <c r="E21" s="2">
        <v>0.08</v>
      </c>
      <c r="F21" s="65"/>
    </row>
    <row r="22" spans="3:18" ht="15.65" customHeight="1">
      <c r="C22" s="57" t="s">
        <v>6</v>
      </c>
      <c r="D22" s="4" t="s">
        <v>4</v>
      </c>
      <c r="E22" s="2">
        <v>0.2</v>
      </c>
      <c r="F22" s="65"/>
    </row>
    <row r="23" spans="3:18" ht="15.65" customHeight="1">
      <c r="C23" s="76" t="s">
        <v>49</v>
      </c>
      <c r="D23" s="4" t="s">
        <v>4</v>
      </c>
      <c r="E23" s="2">
        <v>0.3</v>
      </c>
      <c r="F23" s="65"/>
    </row>
    <row r="24" spans="3:18" ht="15.65" customHeight="1">
      <c r="C24" s="10"/>
      <c r="F24" s="65"/>
    </row>
    <row r="25" spans="3:18" ht="15.65" hidden="1" customHeight="1" outlineLevel="1">
      <c r="C25" s="10"/>
      <c r="F25" s="65"/>
      <c r="G25" s="50">
        <v>1</v>
      </c>
      <c r="H25" s="67">
        <f>G25+1</f>
        <v>2</v>
      </c>
      <c r="I25" s="67">
        <f t="shared" ref="I25:R25" si="0">H25+1</f>
        <v>3</v>
      </c>
      <c r="J25" s="67">
        <f t="shared" si="0"/>
        <v>4</v>
      </c>
      <c r="K25" s="67">
        <f t="shared" si="0"/>
        <v>5</v>
      </c>
      <c r="L25" s="67">
        <f t="shared" si="0"/>
        <v>6</v>
      </c>
      <c r="M25" s="67">
        <f t="shared" si="0"/>
        <v>7</v>
      </c>
      <c r="N25" s="67">
        <f t="shared" si="0"/>
        <v>8</v>
      </c>
      <c r="O25" s="67">
        <f t="shared" si="0"/>
        <v>9</v>
      </c>
      <c r="P25" s="67">
        <f t="shared" si="0"/>
        <v>10</v>
      </c>
      <c r="Q25" s="67">
        <f t="shared" si="0"/>
        <v>11</v>
      </c>
      <c r="R25" s="67">
        <f t="shared" si="0"/>
        <v>12</v>
      </c>
    </row>
    <row r="26" spans="3:18" ht="15.65" customHeight="1" collapsed="1">
      <c r="C26" s="18" t="s">
        <v>41</v>
      </c>
      <c r="D26" s="18"/>
      <c r="E26" s="72" t="s">
        <v>14</v>
      </c>
      <c r="F26" s="18"/>
      <c r="G26" s="19" t="str">
        <f>"Year "&amp;G25</f>
        <v>Year 1</v>
      </c>
      <c r="H26" s="19" t="str">
        <f t="shared" ref="H26:R26" si="1">"Year "&amp;H25</f>
        <v>Year 2</v>
      </c>
      <c r="I26" s="19" t="str">
        <f t="shared" si="1"/>
        <v>Year 3</v>
      </c>
      <c r="J26" s="19" t="str">
        <f t="shared" si="1"/>
        <v>Year 4</v>
      </c>
      <c r="K26" s="19" t="str">
        <f t="shared" si="1"/>
        <v>Year 5</v>
      </c>
      <c r="L26" s="19" t="str">
        <f t="shared" si="1"/>
        <v>Year 6</v>
      </c>
      <c r="M26" s="19" t="str">
        <f t="shared" si="1"/>
        <v>Year 7</v>
      </c>
      <c r="N26" s="19" t="str">
        <f t="shared" si="1"/>
        <v>Year 8</v>
      </c>
      <c r="O26" s="19" t="str">
        <f t="shared" si="1"/>
        <v>Year 9</v>
      </c>
      <c r="P26" s="19" t="str">
        <f t="shared" si="1"/>
        <v>Year 10</v>
      </c>
      <c r="Q26" s="19" t="str">
        <f t="shared" si="1"/>
        <v>Year 11</v>
      </c>
      <c r="R26" s="19" t="str">
        <f t="shared" si="1"/>
        <v>Year 12</v>
      </c>
    </row>
    <row r="27" spans="3:18" ht="15.65" customHeight="1">
      <c r="C27" s="20" t="s">
        <v>29</v>
      </c>
      <c r="D27" s="4" t="s">
        <v>18</v>
      </c>
      <c r="E27" s="38">
        <f>SUM(G27:R27)</f>
        <v>-882</v>
      </c>
      <c r="G27" s="38">
        <f>-MIN(LP_Inv_Capital/Inv_Years,LP_Inv_Capital+SUM($F27:F27))</f>
        <v>-176.4</v>
      </c>
      <c r="H27" s="38">
        <f>-MIN(LP_Inv_Capital/Inv_Years,LP_Inv_Capital+SUM($F27:G27))</f>
        <v>-176.4</v>
      </c>
      <c r="I27" s="38">
        <f>-MIN(LP_Inv_Capital/Inv_Years,LP_Inv_Capital+SUM($F27:H27))</f>
        <v>-176.4</v>
      </c>
      <c r="J27" s="38">
        <f>-MIN(LP_Inv_Capital/Inv_Years,LP_Inv_Capital+SUM($F27:I27))</f>
        <v>-176.4</v>
      </c>
      <c r="K27" s="38">
        <f>-MIN(LP_Inv_Capital/Inv_Years,LP_Inv_Capital+SUM($F27:J27))</f>
        <v>-176.39999999999998</v>
      </c>
      <c r="L27" s="38">
        <f>-MIN(LP_Inv_Capital/Inv_Years,LP_Inv_Capital+SUM($F27:K27))</f>
        <v>0</v>
      </c>
      <c r="M27" s="38">
        <f>-MIN(LP_Inv_Capital/Inv_Years,LP_Inv_Capital+SUM($F27:L27))</f>
        <v>0</v>
      </c>
      <c r="N27" s="38">
        <f>-MIN(LP_Inv_Capital/Inv_Years,LP_Inv_Capital+SUM($F27:M27))</f>
        <v>0</v>
      </c>
      <c r="O27" s="38">
        <f>-MIN(LP_Inv_Capital/Inv_Years,LP_Inv_Capital+SUM($F27:N27))</f>
        <v>0</v>
      </c>
      <c r="P27" s="38">
        <f>-MIN(LP_Inv_Capital/Inv_Years,LP_Inv_Capital+SUM($F27:O27))</f>
        <v>0</v>
      </c>
      <c r="Q27" s="38">
        <f>-MIN(LP_Inv_Capital/Inv_Years,LP_Inv_Capital+SUM($F27:P27))</f>
        <v>0</v>
      </c>
      <c r="R27" s="38">
        <f>-MIN(LP_Inv_Capital/Inv_Years,LP_Inv_Capital+SUM($F27:Q27))</f>
        <v>0</v>
      </c>
    </row>
    <row r="28" spans="3:18" ht="15.65" customHeight="1">
      <c r="C28" s="20" t="s">
        <v>30</v>
      </c>
      <c r="D28" s="4" t="s">
        <v>18</v>
      </c>
      <c r="E28" s="11">
        <f>SUM(G28:R28)</f>
        <v>-115.64</v>
      </c>
      <c r="G28" s="11">
        <f t="shared" ref="G28:R28" si="2">-IF(G$25&lt;=Inv_Years,LP_Com_Capital*Mgmt_Fee_1,G36*Mgmt_Fee_2)</f>
        <v>-19.600000000000001</v>
      </c>
      <c r="H28" s="11">
        <f t="shared" si="2"/>
        <v>-19.600000000000001</v>
      </c>
      <c r="I28" s="11">
        <f t="shared" si="2"/>
        <v>-19.600000000000001</v>
      </c>
      <c r="J28" s="11">
        <f t="shared" si="2"/>
        <v>-19.600000000000001</v>
      </c>
      <c r="K28" s="11">
        <f t="shared" si="2"/>
        <v>-19.600000000000001</v>
      </c>
      <c r="L28" s="11">
        <f t="shared" si="2"/>
        <v>-7.056</v>
      </c>
      <c r="M28" s="11">
        <f t="shared" si="2"/>
        <v>-5.2920000000000007</v>
      </c>
      <c r="N28" s="11">
        <f t="shared" si="2"/>
        <v>-3.5279999999999996</v>
      </c>
      <c r="O28" s="11">
        <f t="shared" si="2"/>
        <v>-1.7639999999999998</v>
      </c>
      <c r="P28" s="11">
        <f t="shared" si="2"/>
        <v>0</v>
      </c>
      <c r="Q28" s="11">
        <f t="shared" si="2"/>
        <v>0</v>
      </c>
      <c r="R28" s="11">
        <f t="shared" si="2"/>
        <v>0</v>
      </c>
    </row>
    <row r="29" spans="3:18" ht="15.65" customHeight="1">
      <c r="C29" s="21" t="s">
        <v>31</v>
      </c>
      <c r="D29" s="58" t="s">
        <v>18</v>
      </c>
      <c r="E29" s="14">
        <f>SUM(G29:R29)</f>
        <v>2205</v>
      </c>
      <c r="F29" s="45"/>
      <c r="G29" s="14">
        <f t="shared" ref="G29:R29" si="3">-_xlfn.XLOOKUP(G25-Realiz_Years,$G$25:$R$25,$G$27:$R$27,0,0)*Gross_MOIC</f>
        <v>0</v>
      </c>
      <c r="H29" s="14">
        <f t="shared" si="3"/>
        <v>0</v>
      </c>
      <c r="I29" s="14">
        <f t="shared" si="3"/>
        <v>0</v>
      </c>
      <c r="J29" s="14">
        <f t="shared" si="3"/>
        <v>0</v>
      </c>
      <c r="K29" s="14">
        <f t="shared" si="3"/>
        <v>0</v>
      </c>
      <c r="L29" s="14">
        <f t="shared" si="3"/>
        <v>441</v>
      </c>
      <c r="M29" s="14">
        <f t="shared" si="3"/>
        <v>441</v>
      </c>
      <c r="N29" s="14">
        <f t="shared" si="3"/>
        <v>441</v>
      </c>
      <c r="O29" s="14">
        <f t="shared" si="3"/>
        <v>441</v>
      </c>
      <c r="P29" s="14">
        <f t="shared" si="3"/>
        <v>440.99999999999994</v>
      </c>
      <c r="Q29" s="14">
        <f t="shared" si="3"/>
        <v>0</v>
      </c>
      <c r="R29" s="14">
        <f t="shared" si="3"/>
        <v>0</v>
      </c>
    </row>
    <row r="30" spans="3:18" ht="15.65" customHeight="1">
      <c r="C30" s="26" t="s">
        <v>32</v>
      </c>
      <c r="D30" s="4" t="s">
        <v>18</v>
      </c>
      <c r="E30" s="12">
        <f>SUM(E27:E29)</f>
        <v>1207.3600000000001</v>
      </c>
      <c r="G30" s="12">
        <f>SUM(G27:G29)</f>
        <v>-196</v>
      </c>
      <c r="H30" s="12">
        <f t="shared" ref="H30:O30" si="4">SUM(H27:H29)</f>
        <v>-196</v>
      </c>
      <c r="I30" s="12">
        <f t="shared" si="4"/>
        <v>-196</v>
      </c>
      <c r="J30" s="12">
        <f t="shared" si="4"/>
        <v>-196</v>
      </c>
      <c r="K30" s="12">
        <f t="shared" si="4"/>
        <v>-195.99999999999997</v>
      </c>
      <c r="L30" s="12">
        <f t="shared" si="4"/>
        <v>433.94400000000002</v>
      </c>
      <c r="M30" s="12">
        <f t="shared" si="4"/>
        <v>435.70800000000003</v>
      </c>
      <c r="N30" s="12">
        <f t="shared" si="4"/>
        <v>437.47199999999998</v>
      </c>
      <c r="O30" s="12">
        <f t="shared" si="4"/>
        <v>439.23599999999999</v>
      </c>
      <c r="P30" s="12">
        <f t="shared" ref="P30:R30" si="5">SUM(P27:P29)</f>
        <v>440.99999999999994</v>
      </c>
      <c r="Q30" s="12">
        <f t="shared" si="5"/>
        <v>0</v>
      </c>
      <c r="R30" s="12">
        <f t="shared" si="5"/>
        <v>0</v>
      </c>
    </row>
    <row r="31" spans="3:18" ht="15.65" customHeight="1">
      <c r="C31" s="10"/>
    </row>
    <row r="32" spans="3:18" ht="15.65" customHeight="1">
      <c r="C32" s="61" t="s">
        <v>33</v>
      </c>
      <c r="D32" s="48" t="s">
        <v>0</v>
      </c>
      <c r="E32" s="63">
        <f>-SUM(G29:R29)/SUM(G27:R28)</f>
        <v>2.2102161100196458</v>
      </c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3:18" ht="15.65" customHeight="1">
      <c r="C33" s="59" t="s">
        <v>34</v>
      </c>
      <c r="D33" s="49" t="s">
        <v>4</v>
      </c>
      <c r="E33" s="64">
        <f>IRR(G30:R30)</f>
        <v>0.17389079255829198</v>
      </c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</row>
    <row r="34" spans="3:18" ht="15.65" customHeight="1">
      <c r="C34" s="10"/>
    </row>
    <row r="35" spans="3:18" ht="15.65" customHeight="1">
      <c r="C35" s="68" t="s">
        <v>56</v>
      </c>
      <c r="D35" s="4" t="s">
        <v>57</v>
      </c>
      <c r="E35" s="77" t="str">
        <f>IF(E33&gt;Pref_Rate,"Yes","No")</f>
        <v>Yes</v>
      </c>
    </row>
    <row r="36" spans="3:18" ht="15.65" customHeight="1">
      <c r="C36" s="68" t="s">
        <v>40</v>
      </c>
      <c r="D36" s="4" t="s">
        <v>18</v>
      </c>
      <c r="E36" s="23">
        <f>MAX(G36:R36)</f>
        <v>882</v>
      </c>
      <c r="G36" s="11">
        <f>-SUM($G27:G27)-SUM($G29:G29)/Gross_MOIC</f>
        <v>176.4</v>
      </c>
      <c r="H36" s="11">
        <f>-SUM($G27:H27)-SUM($G29:H29)/Gross_MOIC</f>
        <v>352.8</v>
      </c>
      <c r="I36" s="11">
        <f>-SUM($G27:I27)-SUM($G29:I29)/Gross_MOIC</f>
        <v>529.20000000000005</v>
      </c>
      <c r="J36" s="11">
        <f>-SUM($G27:J27)-SUM($G29:J29)/Gross_MOIC</f>
        <v>705.6</v>
      </c>
      <c r="K36" s="11">
        <f>-SUM($G27:K27)-SUM($G29:K29)/Gross_MOIC</f>
        <v>882</v>
      </c>
      <c r="L36" s="11">
        <f>-SUM($G27:L27)-SUM($G29:L29)/Gross_MOIC</f>
        <v>705.6</v>
      </c>
      <c r="M36" s="11">
        <f>-SUM($G27:M27)-SUM($G29:M29)/Gross_MOIC</f>
        <v>529.20000000000005</v>
      </c>
      <c r="N36" s="11">
        <f>-SUM($G27:N27)-SUM($G29:N29)/Gross_MOIC</f>
        <v>352.79999999999995</v>
      </c>
      <c r="O36" s="11">
        <f>-SUM($G27:O27)-SUM($G29:O29)/Gross_MOIC</f>
        <v>176.39999999999998</v>
      </c>
      <c r="P36" s="11">
        <f>-SUM($G27:P27)-SUM($G29:P29)/Gross_MOIC</f>
        <v>0</v>
      </c>
      <c r="Q36" s="11">
        <f>-SUM($G27:Q27)-SUM($G29:Q29)/Gross_MOIC</f>
        <v>0</v>
      </c>
      <c r="R36" s="11">
        <f>-SUM($G27:R27)-SUM($G29:R29)/Gross_MOIC</f>
        <v>0</v>
      </c>
    </row>
    <row r="37" spans="3:18" ht="15.65" customHeight="1">
      <c r="C37" s="10"/>
    </row>
    <row r="38" spans="3:18" ht="15.65" customHeight="1">
      <c r="C38" s="18" t="s">
        <v>24</v>
      </c>
      <c r="D38" s="18"/>
      <c r="E38" s="72" t="str">
        <f>$E$26</f>
        <v>Total:</v>
      </c>
      <c r="F38" s="18"/>
      <c r="G38" s="19" t="str">
        <f>$G$26</f>
        <v>Year 1</v>
      </c>
      <c r="H38" s="19" t="str">
        <f>$H$26</f>
        <v>Year 2</v>
      </c>
      <c r="I38" s="19" t="str">
        <f>$I$26</f>
        <v>Year 3</v>
      </c>
      <c r="J38" s="19" t="str">
        <f>$J$26</f>
        <v>Year 4</v>
      </c>
      <c r="K38" s="19" t="str">
        <f>$K$26</f>
        <v>Year 5</v>
      </c>
      <c r="L38" s="19" t="str">
        <f>$L$26</f>
        <v>Year 6</v>
      </c>
      <c r="M38" s="19" t="str">
        <f>$M$26</f>
        <v>Year 7</v>
      </c>
      <c r="N38" s="19" t="str">
        <f>$N$26</f>
        <v>Year 8</v>
      </c>
      <c r="O38" s="19" t="str">
        <f>$O$26</f>
        <v>Year 9</v>
      </c>
      <c r="P38" s="19" t="str">
        <f>$P$26</f>
        <v>Year 10</v>
      </c>
      <c r="Q38" s="19" t="str">
        <f>$Q$26</f>
        <v>Year 11</v>
      </c>
      <c r="R38" s="19" t="str">
        <f>$R$26</f>
        <v>Year 12</v>
      </c>
    </row>
    <row r="39" spans="3:18" ht="15.65" customHeight="1">
      <c r="C39" s="68" t="s">
        <v>7</v>
      </c>
      <c r="D39" s="4" t="s">
        <v>18</v>
      </c>
      <c r="E39" s="39">
        <v>0</v>
      </c>
      <c r="G39" s="39">
        <v>0</v>
      </c>
      <c r="H39" s="38">
        <f>G42</f>
        <v>196</v>
      </c>
      <c r="I39" s="38">
        <f t="shared" ref="I39:R39" si="6">H42</f>
        <v>392</v>
      </c>
      <c r="J39" s="38">
        <f t="shared" si="6"/>
        <v>588</v>
      </c>
      <c r="K39" s="38">
        <f t="shared" si="6"/>
        <v>784</v>
      </c>
      <c r="L39" s="38">
        <f t="shared" si="6"/>
        <v>980</v>
      </c>
      <c r="M39" s="38">
        <f t="shared" si="6"/>
        <v>546.05600000000004</v>
      </c>
      <c r="N39" s="38">
        <f t="shared" si="6"/>
        <v>110.34800000000007</v>
      </c>
      <c r="O39" s="38">
        <f t="shared" si="6"/>
        <v>0</v>
      </c>
      <c r="P39" s="38">
        <f t="shared" si="6"/>
        <v>0</v>
      </c>
      <c r="Q39" s="38">
        <f t="shared" si="6"/>
        <v>0</v>
      </c>
      <c r="R39" s="38">
        <f t="shared" si="6"/>
        <v>0</v>
      </c>
    </row>
    <row r="40" spans="3:18" ht="15.65" customHeight="1">
      <c r="C40" s="20" t="s">
        <v>43</v>
      </c>
      <c r="D40" s="4" t="s">
        <v>18</v>
      </c>
      <c r="E40" s="23">
        <f>SUM(G40:R40)</f>
        <v>997.6400000000001</v>
      </c>
      <c r="G40" s="11">
        <f>-SUM(G27:G28)</f>
        <v>196</v>
      </c>
      <c r="H40" s="11">
        <f t="shared" ref="H40:R40" si="7">-SUM(H27:H28)</f>
        <v>196</v>
      </c>
      <c r="I40" s="11">
        <f t="shared" si="7"/>
        <v>196</v>
      </c>
      <c r="J40" s="11">
        <f t="shared" si="7"/>
        <v>196</v>
      </c>
      <c r="K40" s="11">
        <f t="shared" si="7"/>
        <v>195.99999999999997</v>
      </c>
      <c r="L40" s="11">
        <f t="shared" si="7"/>
        <v>7.056</v>
      </c>
      <c r="M40" s="11">
        <f t="shared" si="7"/>
        <v>5.2920000000000007</v>
      </c>
      <c r="N40" s="11">
        <f t="shared" si="7"/>
        <v>3.5279999999999996</v>
      </c>
      <c r="O40" s="11">
        <f t="shared" si="7"/>
        <v>1.7639999999999998</v>
      </c>
      <c r="P40" s="11">
        <f t="shared" si="7"/>
        <v>0</v>
      </c>
      <c r="Q40" s="11">
        <f t="shared" si="7"/>
        <v>0</v>
      </c>
      <c r="R40" s="11">
        <f t="shared" si="7"/>
        <v>0</v>
      </c>
    </row>
    <row r="41" spans="3:18" ht="15.65" customHeight="1">
      <c r="C41" s="21" t="s">
        <v>44</v>
      </c>
      <c r="D41" s="36" t="s">
        <v>18</v>
      </c>
      <c r="E41" s="44">
        <f>SUM(G41:R41)</f>
        <v>-997.6400000000001</v>
      </c>
      <c r="F41" s="45"/>
      <c r="G41" s="14">
        <f>-MIN(G29,SUM(G39:G40))</f>
        <v>0</v>
      </c>
      <c r="H41" s="14">
        <f t="shared" ref="H41" si="8">-MIN(H29,SUM(H39:H40))</f>
        <v>0</v>
      </c>
      <c r="I41" s="14">
        <f t="shared" ref="I41" si="9">-MIN(I29,SUM(I39:I40))</f>
        <v>0</v>
      </c>
      <c r="J41" s="14">
        <f t="shared" ref="J41" si="10">-MIN(J29,SUM(J39:J40))</f>
        <v>0</v>
      </c>
      <c r="K41" s="14">
        <f t="shared" ref="K41" si="11">-MIN(K29,SUM(K39:K40))</f>
        <v>0</v>
      </c>
      <c r="L41" s="14">
        <f t="shared" ref="L41" si="12">-MIN(L29,SUM(L39:L40))</f>
        <v>-441</v>
      </c>
      <c r="M41" s="14">
        <f t="shared" ref="M41" si="13">-MIN(M29,SUM(M39:M40))</f>
        <v>-441</v>
      </c>
      <c r="N41" s="14">
        <f t="shared" ref="N41" si="14">-MIN(N29,SUM(N39:N40))</f>
        <v>-113.87600000000008</v>
      </c>
      <c r="O41" s="14">
        <f t="shared" ref="O41" si="15">-MIN(O29,SUM(O39:O40))</f>
        <v>-1.7639999999999998</v>
      </c>
      <c r="P41" s="14">
        <f t="shared" ref="P41" si="16">-MIN(P29,SUM(P39:P40))</f>
        <v>0</v>
      </c>
      <c r="Q41" s="14">
        <f t="shared" ref="Q41" si="17">-MIN(Q29,SUM(Q39:Q40))</f>
        <v>0</v>
      </c>
      <c r="R41" s="14">
        <f t="shared" ref="R41" si="18">-MIN(R29,SUM(R39:R40))</f>
        <v>0</v>
      </c>
    </row>
    <row r="42" spans="3:18" ht="15.65" customHeight="1">
      <c r="C42" s="26" t="s">
        <v>8</v>
      </c>
      <c r="D42" s="4" t="s">
        <v>18</v>
      </c>
      <c r="E42" s="22">
        <f>SUM(E39:E41)</f>
        <v>0</v>
      </c>
      <c r="G42" s="12">
        <f>SUM(G39:G41)</f>
        <v>196</v>
      </c>
      <c r="H42" s="12">
        <f t="shared" ref="H42" si="19">SUM(H39:H41)</f>
        <v>392</v>
      </c>
      <c r="I42" s="12">
        <f t="shared" ref="I42" si="20">SUM(I39:I41)</f>
        <v>588</v>
      </c>
      <c r="J42" s="12">
        <f t="shared" ref="J42" si="21">SUM(J39:J41)</f>
        <v>784</v>
      </c>
      <c r="K42" s="12">
        <f t="shared" ref="K42" si="22">SUM(K39:K41)</f>
        <v>980</v>
      </c>
      <c r="L42" s="12">
        <f t="shared" ref="L42" si="23">SUM(L39:L41)</f>
        <v>546.05600000000004</v>
      </c>
      <c r="M42" s="12">
        <f t="shared" ref="M42" si="24">SUM(M39:M41)</f>
        <v>110.34800000000007</v>
      </c>
      <c r="N42" s="12">
        <f t="shared" ref="N42" si="25">SUM(N39:N41)</f>
        <v>0</v>
      </c>
      <c r="O42" s="12">
        <f t="shared" ref="O42" si="26">SUM(O39:O41)</f>
        <v>0</v>
      </c>
      <c r="P42" s="12">
        <f t="shared" ref="P42" si="27">SUM(P39:P41)</f>
        <v>0</v>
      </c>
      <c r="Q42" s="12">
        <f t="shared" ref="Q42" si="28">SUM(Q39:Q41)</f>
        <v>0</v>
      </c>
      <c r="R42" s="12">
        <f t="shared" ref="R42" si="29">SUM(R39:R41)</f>
        <v>0</v>
      </c>
    </row>
    <row r="43" spans="3:18" ht="15.65" customHeight="1">
      <c r="C43" s="10"/>
      <c r="D43" s="4"/>
      <c r="E43" s="23"/>
    </row>
    <row r="44" spans="3:18" ht="15.65" customHeight="1">
      <c r="C44" s="27" t="s">
        <v>23</v>
      </c>
      <c r="D44" s="42" t="s">
        <v>18</v>
      </c>
      <c r="E44" s="28">
        <f>SUM(G44:R44)</f>
        <v>1207.3599999999999</v>
      </c>
      <c r="F44" s="28"/>
      <c r="G44" s="28">
        <f>G29+G41</f>
        <v>0</v>
      </c>
      <c r="H44" s="28">
        <f t="shared" ref="H44:R44" si="30">H29+H41</f>
        <v>0</v>
      </c>
      <c r="I44" s="28">
        <f t="shared" si="30"/>
        <v>0</v>
      </c>
      <c r="J44" s="28">
        <f t="shared" si="30"/>
        <v>0</v>
      </c>
      <c r="K44" s="28">
        <f t="shared" si="30"/>
        <v>0</v>
      </c>
      <c r="L44" s="28">
        <f t="shared" si="30"/>
        <v>0</v>
      </c>
      <c r="M44" s="28">
        <f t="shared" si="30"/>
        <v>0</v>
      </c>
      <c r="N44" s="28">
        <f t="shared" si="30"/>
        <v>327.12399999999991</v>
      </c>
      <c r="O44" s="28">
        <f t="shared" si="30"/>
        <v>439.23599999999999</v>
      </c>
      <c r="P44" s="28">
        <f t="shared" si="30"/>
        <v>440.99999999999994</v>
      </c>
      <c r="Q44" s="28">
        <f t="shared" si="30"/>
        <v>0</v>
      </c>
      <c r="R44" s="28">
        <f t="shared" si="30"/>
        <v>0</v>
      </c>
    </row>
    <row r="45" spans="3:18" ht="15.65" customHeight="1">
      <c r="C45" s="10"/>
      <c r="D45" s="4"/>
    </row>
    <row r="46" spans="3:18" ht="15.65" customHeight="1">
      <c r="C46" s="18" t="s">
        <v>25</v>
      </c>
      <c r="D46" s="37"/>
      <c r="E46" s="72" t="str">
        <f>$E$26</f>
        <v>Total:</v>
      </c>
      <c r="F46" s="18"/>
      <c r="G46" s="19" t="str">
        <f>$G$26</f>
        <v>Year 1</v>
      </c>
      <c r="H46" s="19" t="str">
        <f>$H$26</f>
        <v>Year 2</v>
      </c>
      <c r="I46" s="19" t="str">
        <f>$I$26</f>
        <v>Year 3</v>
      </c>
      <c r="J46" s="19" t="str">
        <f>$J$26</f>
        <v>Year 4</v>
      </c>
      <c r="K46" s="19" t="str">
        <f>$K$26</f>
        <v>Year 5</v>
      </c>
      <c r="L46" s="19" t="str">
        <f>$L$26</f>
        <v>Year 6</v>
      </c>
      <c r="M46" s="19" t="str">
        <f>$M$26</f>
        <v>Year 7</v>
      </c>
      <c r="N46" s="19" t="str">
        <f>$N$26</f>
        <v>Year 8</v>
      </c>
      <c r="O46" s="19" t="str">
        <f>$O$26</f>
        <v>Year 9</v>
      </c>
      <c r="P46" s="19" t="str">
        <f>$P$26</f>
        <v>Year 10</v>
      </c>
      <c r="Q46" s="19" t="str">
        <f>$Q$26</f>
        <v>Year 11</v>
      </c>
      <c r="R46" s="19" t="str">
        <f>$R$26</f>
        <v>Year 12</v>
      </c>
    </row>
    <row r="47" spans="3:18" ht="15.65" customHeight="1">
      <c r="C47" s="68" t="s">
        <v>7</v>
      </c>
      <c r="D47" s="4" t="s">
        <v>18</v>
      </c>
      <c r="E47" s="39">
        <v>0</v>
      </c>
      <c r="G47" s="39">
        <v>0</v>
      </c>
      <c r="H47" s="38">
        <f>G50</f>
        <v>0</v>
      </c>
      <c r="I47" s="38">
        <f t="shared" ref="I47:R47" si="31">H50</f>
        <v>15.68</v>
      </c>
      <c r="J47" s="38">
        <f t="shared" si="31"/>
        <v>48.294400000000003</v>
      </c>
      <c r="K47" s="38">
        <f t="shared" si="31"/>
        <v>99.197952000000001</v>
      </c>
      <c r="L47" s="38">
        <f t="shared" si="31"/>
        <v>169.85378816000002</v>
      </c>
      <c r="M47" s="38">
        <f t="shared" si="31"/>
        <v>261.84209121280003</v>
      </c>
      <c r="N47" s="38">
        <f t="shared" si="31"/>
        <v>326.47393850982405</v>
      </c>
      <c r="O47" s="38">
        <f t="shared" si="31"/>
        <v>34.295693590610085</v>
      </c>
      <c r="P47" s="38">
        <f t="shared" si="31"/>
        <v>0</v>
      </c>
      <c r="Q47" s="38">
        <f t="shared" si="31"/>
        <v>0</v>
      </c>
      <c r="R47" s="38">
        <f t="shared" si="31"/>
        <v>0</v>
      </c>
    </row>
    <row r="48" spans="3:18" ht="15.65" customHeight="1">
      <c r="C48" s="20" t="s">
        <v>45</v>
      </c>
      <c r="D48" s="4" t="s">
        <v>18</v>
      </c>
      <c r="E48" s="23">
        <f>SUM(G48:R48)</f>
        <v>364.16334907785881</v>
      </c>
      <c r="F48" s="23"/>
      <c r="G48" s="23">
        <f t="shared" ref="G48:R48" si="32">(G39+G47)*Pref_Rate</f>
        <v>0</v>
      </c>
      <c r="H48" s="23">
        <f t="shared" si="32"/>
        <v>15.68</v>
      </c>
      <c r="I48" s="23">
        <f t="shared" si="32"/>
        <v>32.614400000000003</v>
      </c>
      <c r="J48" s="23">
        <f t="shared" si="32"/>
        <v>50.903551999999998</v>
      </c>
      <c r="K48" s="23">
        <f t="shared" si="32"/>
        <v>70.655836160000007</v>
      </c>
      <c r="L48" s="23">
        <f t="shared" si="32"/>
        <v>91.988303052800006</v>
      </c>
      <c r="M48" s="23">
        <f t="shared" si="32"/>
        <v>64.631847297024009</v>
      </c>
      <c r="N48" s="23">
        <f t="shared" si="32"/>
        <v>34.945755080785929</v>
      </c>
      <c r="O48" s="23">
        <f t="shared" si="32"/>
        <v>2.743655487248807</v>
      </c>
      <c r="P48" s="23">
        <f t="shared" si="32"/>
        <v>0</v>
      </c>
      <c r="Q48" s="23">
        <f t="shared" si="32"/>
        <v>0</v>
      </c>
      <c r="R48" s="23">
        <f t="shared" si="32"/>
        <v>0</v>
      </c>
    </row>
    <row r="49" spans="3:18" ht="15.65" customHeight="1">
      <c r="C49" s="21" t="s">
        <v>44</v>
      </c>
      <c r="D49" s="36" t="s">
        <v>18</v>
      </c>
      <c r="E49" s="44">
        <f>SUM(G49:R49)</f>
        <v>-364.16334907785881</v>
      </c>
      <c r="F49" s="15"/>
      <c r="G49" s="15">
        <f>-MIN(G44,SUM(G47:G48))</f>
        <v>0</v>
      </c>
      <c r="H49" s="15">
        <f t="shared" ref="H49" si="33">-MIN(H44,SUM(H47:H48))</f>
        <v>0</v>
      </c>
      <c r="I49" s="15">
        <f t="shared" ref="I49" si="34">-MIN(I44,SUM(I47:I48))</f>
        <v>0</v>
      </c>
      <c r="J49" s="15">
        <f t="shared" ref="J49" si="35">-MIN(J44,SUM(J47:J48))</f>
        <v>0</v>
      </c>
      <c r="K49" s="15">
        <f t="shared" ref="K49" si="36">-MIN(K44,SUM(K47:K48))</f>
        <v>0</v>
      </c>
      <c r="L49" s="15">
        <f t="shared" ref="L49" si="37">-MIN(L44,SUM(L47:L48))</f>
        <v>0</v>
      </c>
      <c r="M49" s="15">
        <f t="shared" ref="M49" si="38">-MIN(M44,SUM(M47:M48))</f>
        <v>0</v>
      </c>
      <c r="N49" s="15">
        <f t="shared" ref="N49" si="39">-MIN(N44,SUM(N47:N48))</f>
        <v>-327.12399999999991</v>
      </c>
      <c r="O49" s="15">
        <f t="shared" ref="O49" si="40">-MIN(O44,SUM(O47:O48))</f>
        <v>-37.039349077858894</v>
      </c>
      <c r="P49" s="15">
        <f t="shared" ref="P49" si="41">-MIN(P44,SUM(P47:P48))</f>
        <v>0</v>
      </c>
      <c r="Q49" s="15">
        <f t="shared" ref="Q49" si="42">-MIN(Q44,SUM(Q47:Q48))</f>
        <v>0</v>
      </c>
      <c r="R49" s="15">
        <f t="shared" ref="R49" si="43">-MIN(R44,SUM(R47:R48))</f>
        <v>0</v>
      </c>
    </row>
    <row r="50" spans="3:18" ht="15.65" customHeight="1">
      <c r="C50" s="24" t="s">
        <v>8</v>
      </c>
      <c r="D50" s="4" t="s">
        <v>18</v>
      </c>
      <c r="E50" s="22">
        <f>SUM(E47:E49)</f>
        <v>0</v>
      </c>
      <c r="F50" s="25"/>
      <c r="G50" s="25">
        <f>SUM(G47:G49)</f>
        <v>0</v>
      </c>
      <c r="H50" s="25">
        <f t="shared" ref="H50" si="44">SUM(H47:H49)</f>
        <v>15.68</v>
      </c>
      <c r="I50" s="25">
        <f t="shared" ref="I50" si="45">SUM(I47:I49)</f>
        <v>48.294400000000003</v>
      </c>
      <c r="J50" s="25">
        <f t="shared" ref="J50" si="46">SUM(J47:J49)</f>
        <v>99.197952000000001</v>
      </c>
      <c r="K50" s="25">
        <f t="shared" ref="K50" si="47">SUM(K47:K49)</f>
        <v>169.85378816000002</v>
      </c>
      <c r="L50" s="25">
        <f t="shared" ref="L50" si="48">SUM(L47:L49)</f>
        <v>261.84209121280003</v>
      </c>
      <c r="M50" s="25">
        <f t="shared" ref="M50" si="49">SUM(M47:M49)</f>
        <v>326.47393850982405</v>
      </c>
      <c r="N50" s="25">
        <f t="shared" ref="N50" si="50">SUM(N47:N49)</f>
        <v>34.295693590610085</v>
      </c>
      <c r="O50" s="25">
        <f t="shared" ref="O50" si="51">SUM(O47:O49)</f>
        <v>0</v>
      </c>
      <c r="P50" s="25">
        <f t="shared" ref="P50" si="52">SUM(P47:P49)</f>
        <v>0</v>
      </c>
      <c r="Q50" s="25">
        <f t="shared" ref="Q50" si="53">SUM(Q47:Q49)</f>
        <v>0</v>
      </c>
      <c r="R50" s="25">
        <f t="shared" ref="R50" si="54">SUM(R47:R49)</f>
        <v>0</v>
      </c>
    </row>
    <row r="51" spans="3:18" ht="15.65" customHeight="1">
      <c r="C51" s="10"/>
      <c r="D51" s="4"/>
    </row>
    <row r="52" spans="3:18" ht="15.65" customHeight="1">
      <c r="C52" s="3" t="s">
        <v>19</v>
      </c>
      <c r="D52" s="4" t="s">
        <v>18</v>
      </c>
      <c r="E52" s="23">
        <f>SUM(G52:R52)</f>
        <v>364.16334907785887</v>
      </c>
      <c r="F52" s="23"/>
      <c r="G52" s="23">
        <f>-G40-G41-G49</f>
        <v>-196</v>
      </c>
      <c r="H52" s="23">
        <f t="shared" ref="H52:R52" si="55">-H40-H41-H49</f>
        <v>-196</v>
      </c>
      <c r="I52" s="23">
        <f t="shared" si="55"/>
        <v>-196</v>
      </c>
      <c r="J52" s="23">
        <f t="shared" si="55"/>
        <v>-196</v>
      </c>
      <c r="K52" s="23">
        <f t="shared" si="55"/>
        <v>-195.99999999999997</v>
      </c>
      <c r="L52" s="23">
        <f t="shared" si="55"/>
        <v>433.94400000000002</v>
      </c>
      <c r="M52" s="23">
        <f t="shared" si="55"/>
        <v>435.70800000000003</v>
      </c>
      <c r="N52" s="23">
        <f t="shared" si="55"/>
        <v>437.47199999999998</v>
      </c>
      <c r="O52" s="23">
        <f t="shared" si="55"/>
        <v>37.039349077858894</v>
      </c>
      <c r="P52" s="23">
        <f t="shared" si="55"/>
        <v>0</v>
      </c>
      <c r="Q52" s="23">
        <f t="shared" si="55"/>
        <v>0</v>
      </c>
      <c r="R52" s="23">
        <f t="shared" si="55"/>
        <v>0</v>
      </c>
    </row>
    <row r="53" spans="3:18" ht="15.65" customHeight="1">
      <c r="D53" s="4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</row>
    <row r="54" spans="3:18" ht="15.65" customHeight="1">
      <c r="C54" s="29" t="s">
        <v>9</v>
      </c>
      <c r="D54" s="43" t="s">
        <v>4</v>
      </c>
      <c r="E54" s="30">
        <f>IRR(G52:R52)</f>
        <v>8.0000000000000071E-2</v>
      </c>
      <c r="F54" s="30"/>
    </row>
    <row r="55" spans="3:18" ht="15.65" customHeight="1">
      <c r="C55" s="29"/>
      <c r="D55" s="30"/>
    </row>
    <row r="56" spans="3:18" ht="15.65" customHeight="1">
      <c r="C56" s="27" t="s">
        <v>23</v>
      </c>
      <c r="D56" s="42" t="s">
        <v>18</v>
      </c>
      <c r="E56" s="28">
        <f>SUM(G56:R56)</f>
        <v>843.19665092214109</v>
      </c>
      <c r="F56" s="28"/>
      <c r="G56" s="28">
        <f>G44+G49</f>
        <v>0</v>
      </c>
      <c r="H56" s="28">
        <f t="shared" ref="H56:R56" si="56">H44+H49</f>
        <v>0</v>
      </c>
      <c r="I56" s="28">
        <f t="shared" si="56"/>
        <v>0</v>
      </c>
      <c r="J56" s="28">
        <f t="shared" si="56"/>
        <v>0</v>
      </c>
      <c r="K56" s="28">
        <f t="shared" si="56"/>
        <v>0</v>
      </c>
      <c r="L56" s="28">
        <f t="shared" si="56"/>
        <v>0</v>
      </c>
      <c r="M56" s="28">
        <f t="shared" si="56"/>
        <v>0</v>
      </c>
      <c r="N56" s="28">
        <f t="shared" si="56"/>
        <v>0</v>
      </c>
      <c r="O56" s="28">
        <f t="shared" si="56"/>
        <v>402.19665092214109</v>
      </c>
      <c r="P56" s="28">
        <f t="shared" si="56"/>
        <v>440.99999999999994</v>
      </c>
      <c r="Q56" s="28">
        <f t="shared" si="56"/>
        <v>0</v>
      </c>
      <c r="R56" s="28">
        <f t="shared" si="56"/>
        <v>0</v>
      </c>
    </row>
    <row r="57" spans="3:18" ht="15.65" customHeight="1">
      <c r="C57" s="10"/>
      <c r="D57" s="4"/>
    </row>
    <row r="58" spans="3:18" ht="15.65" customHeight="1">
      <c r="C58" s="18" t="s">
        <v>20</v>
      </c>
      <c r="D58" s="37"/>
      <c r="E58" s="72" t="str">
        <f>$E$26</f>
        <v>Total:</v>
      </c>
      <c r="F58" s="18"/>
      <c r="G58" s="19" t="str">
        <f>$G$26</f>
        <v>Year 1</v>
      </c>
      <c r="H58" s="19" t="str">
        <f>$H$26</f>
        <v>Year 2</v>
      </c>
      <c r="I58" s="19" t="str">
        <f>$I$26</f>
        <v>Year 3</v>
      </c>
      <c r="J58" s="19" t="str">
        <f>$J$26</f>
        <v>Year 4</v>
      </c>
      <c r="K58" s="19" t="str">
        <f>$K$26</f>
        <v>Year 5</v>
      </c>
      <c r="L58" s="19" t="str">
        <f>$L$26</f>
        <v>Year 6</v>
      </c>
      <c r="M58" s="19" t="str">
        <f>$M$26</f>
        <v>Year 7</v>
      </c>
      <c r="N58" s="19" t="str">
        <f>$N$26</f>
        <v>Year 8</v>
      </c>
      <c r="O58" s="19" t="str">
        <f>$O$26</f>
        <v>Year 9</v>
      </c>
      <c r="P58" s="19" t="str">
        <f>$P$26</f>
        <v>Year 10</v>
      </c>
      <c r="Q58" s="19" t="str">
        <f>$Q$26</f>
        <v>Year 11</v>
      </c>
      <c r="R58" s="19" t="str">
        <f>$R$26</f>
        <v>Year 12</v>
      </c>
    </row>
    <row r="59" spans="3:18" ht="15.65" customHeight="1">
      <c r="C59" s="68" t="s">
        <v>7</v>
      </c>
      <c r="D59" s="4" t="s">
        <v>18</v>
      </c>
      <c r="E59" s="39">
        <v>0</v>
      </c>
      <c r="G59" s="39">
        <v>0</v>
      </c>
      <c r="H59" s="38">
        <f>G62</f>
        <v>0</v>
      </c>
      <c r="I59" s="38">
        <f t="shared" ref="I59:R59" si="57">H62</f>
        <v>0</v>
      </c>
      <c r="J59" s="38">
        <f t="shared" si="57"/>
        <v>0</v>
      </c>
      <c r="K59" s="38">
        <f t="shared" si="57"/>
        <v>0</v>
      </c>
      <c r="L59" s="38">
        <f t="shared" si="57"/>
        <v>0</v>
      </c>
      <c r="M59" s="38">
        <f t="shared" si="57"/>
        <v>0</v>
      </c>
      <c r="N59" s="38">
        <f t="shared" si="57"/>
        <v>0</v>
      </c>
      <c r="O59" s="38">
        <f t="shared" si="57"/>
        <v>81.780999999999977</v>
      </c>
      <c r="P59" s="38">
        <f t="shared" si="57"/>
        <v>0</v>
      </c>
      <c r="Q59" s="38">
        <f t="shared" si="57"/>
        <v>0</v>
      </c>
      <c r="R59" s="38">
        <f t="shared" si="57"/>
        <v>0</v>
      </c>
    </row>
    <row r="60" spans="3:18" ht="15.65" customHeight="1">
      <c r="C60" s="20" t="s">
        <v>45</v>
      </c>
      <c r="D60" s="4" t="s">
        <v>18</v>
      </c>
      <c r="E60" s="23">
        <f>SUM(G60:R60)</f>
        <v>91.040837269464703</v>
      </c>
      <c r="G60" s="11">
        <f t="shared" ref="G60:R60" si="58">-G49/(1-Carry)*Carry</f>
        <v>0</v>
      </c>
      <c r="H60" s="11">
        <f t="shared" si="58"/>
        <v>0</v>
      </c>
      <c r="I60" s="11">
        <f t="shared" si="58"/>
        <v>0</v>
      </c>
      <c r="J60" s="11">
        <f t="shared" si="58"/>
        <v>0</v>
      </c>
      <c r="K60" s="11">
        <f t="shared" si="58"/>
        <v>0</v>
      </c>
      <c r="L60" s="11">
        <f t="shared" si="58"/>
        <v>0</v>
      </c>
      <c r="M60" s="11">
        <f t="shared" si="58"/>
        <v>0</v>
      </c>
      <c r="N60" s="11">
        <f t="shared" si="58"/>
        <v>81.780999999999977</v>
      </c>
      <c r="O60" s="11">
        <f t="shared" si="58"/>
        <v>9.2598372694647235</v>
      </c>
      <c r="P60" s="11">
        <f t="shared" si="58"/>
        <v>0</v>
      </c>
      <c r="Q60" s="11">
        <f t="shared" si="58"/>
        <v>0</v>
      </c>
      <c r="R60" s="11">
        <f t="shared" si="58"/>
        <v>0</v>
      </c>
    </row>
    <row r="61" spans="3:18" ht="15.65" customHeight="1">
      <c r="C61" s="21" t="s">
        <v>44</v>
      </c>
      <c r="D61" s="36" t="s">
        <v>18</v>
      </c>
      <c r="E61" s="44">
        <f>SUM(G61:R61)</f>
        <v>-91.040837269464703</v>
      </c>
      <c r="F61" s="45"/>
      <c r="G61" s="14">
        <f>-MIN(G56,SUM(G59:G60))</f>
        <v>0</v>
      </c>
      <c r="H61" s="15">
        <f t="shared" ref="H61" si="59">-MIN(H56,SUM(H59:H60))</f>
        <v>0</v>
      </c>
      <c r="I61" s="15">
        <f t="shared" ref="I61" si="60">-MIN(I56,SUM(I59:I60))</f>
        <v>0</v>
      </c>
      <c r="J61" s="15">
        <f t="shared" ref="J61" si="61">-MIN(J56,SUM(J59:J60))</f>
        <v>0</v>
      </c>
      <c r="K61" s="15">
        <f t="shared" ref="K61" si="62">-MIN(K56,SUM(K59:K60))</f>
        <v>0</v>
      </c>
      <c r="L61" s="15">
        <f t="shared" ref="L61" si="63">-MIN(L56,SUM(L59:L60))</f>
        <v>0</v>
      </c>
      <c r="M61" s="15">
        <f t="shared" ref="M61" si="64">-MIN(M56,SUM(M59:M60))</f>
        <v>0</v>
      </c>
      <c r="N61" s="15">
        <f t="shared" ref="N61" si="65">-MIN(N56,SUM(N59:N60))</f>
        <v>0</v>
      </c>
      <c r="O61" s="15">
        <f t="shared" ref="O61" si="66">-MIN(O56,SUM(O59:O60))</f>
        <v>-91.040837269464703</v>
      </c>
      <c r="P61" s="15">
        <f t="shared" ref="P61" si="67">-MIN(P56,SUM(P59:P60))</f>
        <v>0</v>
      </c>
      <c r="Q61" s="15">
        <f t="shared" ref="Q61" si="68">-MIN(Q56,SUM(Q59:Q60))</f>
        <v>0</v>
      </c>
      <c r="R61" s="15">
        <f t="shared" ref="R61" si="69">-MIN(R56,SUM(R59:R60))</f>
        <v>0</v>
      </c>
    </row>
    <row r="62" spans="3:18" ht="15.65" customHeight="1">
      <c r="C62" s="24" t="s">
        <v>8</v>
      </c>
      <c r="D62" s="4" t="s">
        <v>18</v>
      </c>
      <c r="E62" s="22">
        <f>SUM(E59:E61)</f>
        <v>0</v>
      </c>
      <c r="G62" s="22">
        <f>SUM(G59:G61)</f>
        <v>0</v>
      </c>
      <c r="H62" s="22">
        <f t="shared" ref="H62" si="70">SUM(H59:H61)</f>
        <v>0</v>
      </c>
      <c r="I62" s="22">
        <f t="shared" ref="I62" si="71">SUM(I59:I61)</f>
        <v>0</v>
      </c>
      <c r="J62" s="22">
        <f t="shared" ref="J62" si="72">SUM(J59:J61)</f>
        <v>0</v>
      </c>
      <c r="K62" s="22">
        <f t="shared" ref="K62" si="73">SUM(K59:K61)</f>
        <v>0</v>
      </c>
      <c r="L62" s="22">
        <f t="shared" ref="L62" si="74">SUM(L59:L61)</f>
        <v>0</v>
      </c>
      <c r="M62" s="22">
        <f t="shared" ref="M62" si="75">SUM(M59:M61)</f>
        <v>0</v>
      </c>
      <c r="N62" s="22">
        <f t="shared" ref="N62" si="76">SUM(N59:N61)</f>
        <v>81.780999999999977</v>
      </c>
      <c r="O62" s="22">
        <f t="shared" ref="O62" si="77">SUM(O59:O61)</f>
        <v>0</v>
      </c>
      <c r="P62" s="22">
        <f t="shared" ref="P62" si="78">SUM(P59:P61)</f>
        <v>0</v>
      </c>
      <c r="Q62" s="22">
        <f t="shared" ref="Q62" si="79">SUM(Q59:Q61)</f>
        <v>0</v>
      </c>
      <c r="R62" s="22">
        <f t="shared" ref="R62" si="80">SUM(R59:R61)</f>
        <v>0</v>
      </c>
    </row>
    <row r="63" spans="3:18" ht="15.65" customHeight="1">
      <c r="C63" s="7"/>
      <c r="D63" s="4"/>
      <c r="G63" s="46"/>
    </row>
    <row r="64" spans="3:18" ht="15.65" customHeight="1">
      <c r="C64" s="29" t="s">
        <v>10</v>
      </c>
      <c r="D64" s="43" t="s">
        <v>4</v>
      </c>
      <c r="E64" s="30">
        <f>E61/(E61+E49)</f>
        <v>0.2</v>
      </c>
    </row>
    <row r="65" spans="3:18" ht="15.65" customHeight="1">
      <c r="C65" s="29"/>
      <c r="D65" s="30"/>
    </row>
    <row r="66" spans="3:18" ht="15.65" customHeight="1">
      <c r="C66" s="27" t="s">
        <v>23</v>
      </c>
      <c r="D66" s="42" t="s">
        <v>18</v>
      </c>
      <c r="E66" s="28">
        <f>SUM(G66:R66)</f>
        <v>752.15581365267633</v>
      </c>
      <c r="F66" s="28"/>
      <c r="G66" s="28">
        <f>G56+G61</f>
        <v>0</v>
      </c>
      <c r="H66" s="28">
        <f t="shared" ref="H66:R66" si="81">H56+H61</f>
        <v>0</v>
      </c>
      <c r="I66" s="28">
        <f t="shared" si="81"/>
        <v>0</v>
      </c>
      <c r="J66" s="28">
        <f t="shared" si="81"/>
        <v>0</v>
      </c>
      <c r="K66" s="28">
        <f t="shared" si="81"/>
        <v>0</v>
      </c>
      <c r="L66" s="28">
        <f t="shared" si="81"/>
        <v>0</v>
      </c>
      <c r="M66" s="28">
        <f t="shared" si="81"/>
        <v>0</v>
      </c>
      <c r="N66" s="28">
        <f t="shared" si="81"/>
        <v>0</v>
      </c>
      <c r="O66" s="28">
        <f t="shared" si="81"/>
        <v>311.15581365267639</v>
      </c>
      <c r="P66" s="28">
        <f t="shared" si="81"/>
        <v>440.99999999999994</v>
      </c>
      <c r="Q66" s="28">
        <f t="shared" si="81"/>
        <v>0</v>
      </c>
      <c r="R66" s="28">
        <f t="shared" si="81"/>
        <v>0</v>
      </c>
    </row>
    <row r="67" spans="3:18" ht="15.65" customHeight="1">
      <c r="C67" s="10"/>
      <c r="D67" s="4"/>
    </row>
    <row r="68" spans="3:18" ht="15.65" customHeight="1">
      <c r="C68" s="7" t="s">
        <v>15</v>
      </c>
      <c r="D68" s="4" t="s">
        <v>18</v>
      </c>
      <c r="E68" s="23">
        <f>SUM(G68:R68)</f>
        <v>601.72465092214111</v>
      </c>
      <c r="G68" s="23">
        <f t="shared" ref="G68:R68" si="82">G66*(1-Carry)</f>
        <v>0</v>
      </c>
      <c r="H68" s="23">
        <f t="shared" si="82"/>
        <v>0</v>
      </c>
      <c r="I68" s="23">
        <f t="shared" si="82"/>
        <v>0</v>
      </c>
      <c r="J68" s="23">
        <f t="shared" si="82"/>
        <v>0</v>
      </c>
      <c r="K68" s="23">
        <f t="shared" si="82"/>
        <v>0</v>
      </c>
      <c r="L68" s="23">
        <f t="shared" si="82"/>
        <v>0</v>
      </c>
      <c r="M68" s="23">
        <f t="shared" si="82"/>
        <v>0</v>
      </c>
      <c r="N68" s="23">
        <f t="shared" si="82"/>
        <v>0</v>
      </c>
      <c r="O68" s="23">
        <f t="shared" si="82"/>
        <v>248.92465092214113</v>
      </c>
      <c r="P68" s="23">
        <f t="shared" si="82"/>
        <v>352.79999999999995</v>
      </c>
      <c r="Q68" s="23">
        <f t="shared" si="82"/>
        <v>0</v>
      </c>
      <c r="R68" s="23">
        <f t="shared" si="82"/>
        <v>0</v>
      </c>
    </row>
    <row r="69" spans="3:18" ht="15.65" customHeight="1">
      <c r="C69" s="7" t="s">
        <v>11</v>
      </c>
      <c r="D69" s="4" t="s">
        <v>18</v>
      </c>
      <c r="E69" s="23">
        <f>SUM(G69:R69)</f>
        <v>150.43116273053528</v>
      </c>
      <c r="G69" s="23">
        <f t="shared" ref="G69:R69" si="83">G66*Carry</f>
        <v>0</v>
      </c>
      <c r="H69" s="23">
        <f t="shared" si="83"/>
        <v>0</v>
      </c>
      <c r="I69" s="23">
        <f t="shared" si="83"/>
        <v>0</v>
      </c>
      <c r="J69" s="23">
        <f t="shared" si="83"/>
        <v>0</v>
      </c>
      <c r="K69" s="23">
        <f t="shared" si="83"/>
        <v>0</v>
      </c>
      <c r="L69" s="23">
        <f t="shared" si="83"/>
        <v>0</v>
      </c>
      <c r="M69" s="23">
        <f t="shared" si="83"/>
        <v>0</v>
      </c>
      <c r="N69" s="23">
        <f t="shared" si="83"/>
        <v>0</v>
      </c>
      <c r="O69" s="23">
        <f t="shared" si="83"/>
        <v>62.231162730535281</v>
      </c>
      <c r="P69" s="23">
        <f t="shared" si="83"/>
        <v>88.199999999999989</v>
      </c>
      <c r="Q69" s="23">
        <f t="shared" si="83"/>
        <v>0</v>
      </c>
      <c r="R69" s="23">
        <f t="shared" si="83"/>
        <v>0</v>
      </c>
    </row>
    <row r="70" spans="3:18" ht="15.65" customHeight="1">
      <c r="C70" s="10"/>
      <c r="D70" s="4"/>
    </row>
    <row r="71" spans="3:18" ht="15.65" customHeight="1">
      <c r="C71" s="7" t="s">
        <v>12</v>
      </c>
      <c r="D71" s="4" t="s">
        <v>18</v>
      </c>
      <c r="E71" s="23">
        <f>SUM(G71:R71)</f>
        <v>965.88799999999992</v>
      </c>
      <c r="G71" s="23">
        <f>-G49+G68</f>
        <v>0</v>
      </c>
      <c r="H71" s="23">
        <f t="shared" ref="H71:R71" si="84">-H49+H68</f>
        <v>0</v>
      </c>
      <c r="I71" s="23">
        <f t="shared" si="84"/>
        <v>0</v>
      </c>
      <c r="J71" s="23">
        <f t="shared" si="84"/>
        <v>0</v>
      </c>
      <c r="K71" s="23">
        <f t="shared" si="84"/>
        <v>0</v>
      </c>
      <c r="L71" s="23">
        <f t="shared" si="84"/>
        <v>0</v>
      </c>
      <c r="M71" s="23">
        <f t="shared" si="84"/>
        <v>0</v>
      </c>
      <c r="N71" s="23">
        <f t="shared" si="84"/>
        <v>327.12399999999991</v>
      </c>
      <c r="O71" s="23">
        <f t="shared" si="84"/>
        <v>285.964</v>
      </c>
      <c r="P71" s="23">
        <f t="shared" si="84"/>
        <v>352.79999999999995</v>
      </c>
      <c r="Q71" s="23">
        <f t="shared" si="84"/>
        <v>0</v>
      </c>
      <c r="R71" s="23">
        <f t="shared" si="84"/>
        <v>0</v>
      </c>
    </row>
    <row r="72" spans="3:18" ht="15.65" customHeight="1">
      <c r="C72" s="7" t="s">
        <v>13</v>
      </c>
      <c r="D72" s="4" t="s">
        <v>18</v>
      </c>
      <c r="E72" s="23">
        <f>SUM(G72:R72)</f>
        <v>241.47199999999998</v>
      </c>
      <c r="G72" s="23">
        <f>-G61+G69</f>
        <v>0</v>
      </c>
      <c r="H72" s="23">
        <f t="shared" ref="H72:R72" si="85">-H61+H69</f>
        <v>0</v>
      </c>
      <c r="I72" s="23">
        <f t="shared" si="85"/>
        <v>0</v>
      </c>
      <c r="J72" s="23">
        <f t="shared" si="85"/>
        <v>0</v>
      </c>
      <c r="K72" s="23">
        <f t="shared" si="85"/>
        <v>0</v>
      </c>
      <c r="L72" s="23">
        <f t="shared" si="85"/>
        <v>0</v>
      </c>
      <c r="M72" s="23">
        <f t="shared" si="85"/>
        <v>0</v>
      </c>
      <c r="N72" s="23">
        <f t="shared" si="85"/>
        <v>0</v>
      </c>
      <c r="O72" s="23">
        <f t="shared" si="85"/>
        <v>153.27199999999999</v>
      </c>
      <c r="P72" s="23">
        <f t="shared" si="85"/>
        <v>88.199999999999989</v>
      </c>
      <c r="Q72" s="23">
        <f t="shared" si="85"/>
        <v>0</v>
      </c>
      <c r="R72" s="23">
        <f t="shared" si="85"/>
        <v>0</v>
      </c>
    </row>
    <row r="73" spans="3:18" ht="15.65" customHeight="1">
      <c r="C73" s="10"/>
      <c r="D73" s="4"/>
      <c r="E73" s="23"/>
      <c r="G73" s="16"/>
    </row>
    <row r="74" spans="3:18" ht="15.65" customHeight="1">
      <c r="C74" s="29" t="s">
        <v>16</v>
      </c>
      <c r="D74" s="4" t="s">
        <v>4</v>
      </c>
      <c r="E74" s="30">
        <f>E71/SUM($E$71:$E$72)</f>
        <v>0.8</v>
      </c>
    </row>
    <row r="75" spans="3:18" ht="15.65" customHeight="1">
      <c r="C75" s="29" t="s">
        <v>17</v>
      </c>
      <c r="D75" s="4" t="s">
        <v>4</v>
      </c>
      <c r="E75" s="30">
        <f>E72/SUM($E$71:$E$72)</f>
        <v>0.2</v>
      </c>
    </row>
    <row r="76" spans="3:18" ht="15.65" customHeight="1">
      <c r="C76" s="10"/>
      <c r="D76" s="4"/>
      <c r="G76" s="66"/>
      <c r="L76" s="23"/>
    </row>
    <row r="79" spans="3:18">
      <c r="K79" s="52"/>
      <c r="L79" s="52"/>
      <c r="M79" s="52"/>
      <c r="N79" s="52"/>
      <c r="O79" s="52"/>
      <c r="P79" s="52"/>
      <c r="Q79" s="52"/>
      <c r="R79" s="52"/>
    </row>
    <row r="80" spans="3:18">
      <c r="K80" s="52"/>
      <c r="L80" s="52"/>
      <c r="M80" s="52"/>
      <c r="N80" s="52"/>
      <c r="O80" s="52"/>
      <c r="P80" s="52"/>
      <c r="Q80" s="52"/>
      <c r="R80" s="52"/>
    </row>
    <row r="81" spans="11:18">
      <c r="K81" s="52"/>
      <c r="L81" s="52"/>
      <c r="M81" s="52"/>
      <c r="N81" s="52"/>
      <c r="O81" s="52"/>
      <c r="P81" s="52"/>
      <c r="Q81" s="52"/>
      <c r="R81" s="52"/>
    </row>
    <row r="82" spans="11:18">
      <c r="K82" s="52"/>
      <c r="L82" s="52"/>
      <c r="M82" s="52"/>
      <c r="N82" s="52"/>
      <c r="O82" s="52"/>
      <c r="P82" s="52"/>
      <c r="Q82" s="52"/>
      <c r="R82" s="52"/>
    </row>
    <row r="83" spans="11:18">
      <c r="K83" s="52"/>
      <c r="L83" s="52"/>
      <c r="M83" s="52"/>
      <c r="N83" s="52"/>
      <c r="O83" s="52"/>
      <c r="P83" s="52"/>
      <c r="Q83" s="52"/>
      <c r="R83" s="52"/>
    </row>
    <row r="84" spans="11:18">
      <c r="K84" s="52"/>
      <c r="L84" s="52"/>
      <c r="M84" s="52"/>
      <c r="N84" s="52"/>
      <c r="O84" s="52"/>
      <c r="P84" s="52"/>
      <c r="Q84" s="52"/>
      <c r="R84" s="52"/>
    </row>
    <row r="85" spans="11:18">
      <c r="K85" s="52"/>
      <c r="L85" s="52"/>
      <c r="M85" s="52"/>
      <c r="N85" s="52"/>
      <c r="O85" s="52"/>
      <c r="P85" s="52"/>
      <c r="Q85" s="52"/>
      <c r="R85" s="52"/>
    </row>
    <row r="86" spans="11:18">
      <c r="K86" s="52"/>
      <c r="L86" s="52"/>
      <c r="M86" s="52"/>
      <c r="N86" s="52"/>
      <c r="O86" s="52"/>
      <c r="P86" s="52"/>
      <c r="Q86" s="52"/>
      <c r="R86" s="52"/>
    </row>
    <row r="87" spans="11:18">
      <c r="K87" s="52"/>
      <c r="L87" s="52"/>
      <c r="M87" s="52"/>
      <c r="N87" s="52"/>
      <c r="O87" s="52"/>
      <c r="P87" s="52"/>
      <c r="Q87" s="52"/>
      <c r="R87" s="52"/>
    </row>
    <row r="88" spans="11:18">
      <c r="K88" s="52"/>
      <c r="L88" s="52"/>
      <c r="M88" s="52"/>
      <c r="N88" s="52"/>
      <c r="O88" s="52"/>
      <c r="P88" s="52"/>
      <c r="Q88" s="52"/>
      <c r="R88" s="52"/>
    </row>
    <row r="89" spans="11:18">
      <c r="K89" s="52"/>
      <c r="L89" s="52"/>
      <c r="M89" s="52"/>
      <c r="N89" s="52"/>
      <c r="O89" s="52"/>
      <c r="P89" s="52"/>
      <c r="Q89" s="52"/>
      <c r="R89" s="52"/>
    </row>
    <row r="90" spans="11:18">
      <c r="K90" s="52"/>
      <c r="L90" s="52"/>
      <c r="M90" s="52"/>
      <c r="N90" s="52"/>
      <c r="O90" s="52"/>
      <c r="P90" s="52"/>
      <c r="Q90" s="52"/>
      <c r="R90" s="52"/>
    </row>
    <row r="91" spans="11:18">
      <c r="K91" s="52"/>
      <c r="L91" s="52"/>
      <c r="M91" s="52"/>
      <c r="N91" s="52"/>
      <c r="O91" s="52"/>
      <c r="P91" s="52"/>
      <c r="Q91" s="52"/>
      <c r="R91" s="52"/>
    </row>
    <row r="92" spans="11:18">
      <c r="K92" s="52"/>
      <c r="L92" s="52"/>
      <c r="M92" s="52"/>
      <c r="N92" s="52"/>
      <c r="O92" s="52"/>
      <c r="P92" s="52"/>
      <c r="Q92" s="52"/>
      <c r="R92" s="52"/>
    </row>
    <row r="93" spans="11:18">
      <c r="K93" s="52"/>
      <c r="L93" s="52"/>
      <c r="M93" s="52"/>
      <c r="N93" s="52"/>
      <c r="O93" s="52"/>
      <c r="P93" s="52"/>
      <c r="Q93" s="52"/>
      <c r="R93" s="52"/>
    </row>
    <row r="94" spans="11:18">
      <c r="K94" s="52"/>
      <c r="L94" s="52"/>
      <c r="M94" s="52"/>
      <c r="N94" s="52"/>
      <c r="O94" s="52"/>
      <c r="P94" s="52"/>
      <c r="Q94" s="52"/>
      <c r="R94" s="52"/>
    </row>
    <row r="95" spans="11:18">
      <c r="K95" s="52"/>
      <c r="L95" s="52"/>
      <c r="M95" s="52"/>
      <c r="N95" s="52"/>
      <c r="O95" s="52"/>
      <c r="P95" s="52"/>
      <c r="Q95" s="52"/>
      <c r="R95" s="52"/>
    </row>
    <row r="96" spans="11:18">
      <c r="K96" s="52"/>
      <c r="L96" s="52"/>
      <c r="M96" s="52"/>
      <c r="N96" s="52"/>
      <c r="O96" s="52"/>
      <c r="P96" s="52"/>
      <c r="Q96" s="52"/>
      <c r="R96" s="52"/>
    </row>
    <row r="97" spans="2:18">
      <c r="K97" s="52"/>
      <c r="L97" s="52"/>
      <c r="M97" s="52"/>
      <c r="N97" s="52"/>
      <c r="O97" s="52"/>
      <c r="P97" s="52"/>
      <c r="Q97" s="52"/>
      <c r="R97" s="52"/>
    </row>
    <row r="98" spans="2:18">
      <c r="K98" s="52"/>
      <c r="L98" s="52"/>
      <c r="M98" s="52"/>
      <c r="N98" s="52"/>
      <c r="O98" s="52"/>
      <c r="P98" s="52"/>
      <c r="Q98" s="52"/>
      <c r="R98" s="52"/>
    </row>
    <row r="99" spans="2:18">
      <c r="K99" s="52"/>
      <c r="L99" s="52"/>
      <c r="M99" s="52"/>
      <c r="N99" s="52"/>
      <c r="O99" s="52"/>
      <c r="P99" s="52"/>
      <c r="Q99" s="52"/>
      <c r="R99" s="52"/>
    </row>
    <row r="100" spans="2:18">
      <c r="K100" s="52"/>
      <c r="L100" s="52"/>
      <c r="M100" s="52"/>
      <c r="N100" s="52"/>
      <c r="O100" s="52"/>
      <c r="P100" s="52"/>
      <c r="Q100" s="52"/>
      <c r="R100" s="52"/>
    </row>
    <row r="101" spans="2:18">
      <c r="K101" s="54"/>
      <c r="L101" s="54"/>
      <c r="M101" s="54"/>
      <c r="N101" s="54"/>
      <c r="O101" s="52"/>
      <c r="P101" s="52"/>
      <c r="Q101" s="52"/>
      <c r="R101" s="52"/>
    </row>
    <row r="102" spans="2:18">
      <c r="K102" s="52"/>
      <c r="L102" s="52"/>
      <c r="M102" s="52"/>
      <c r="N102" s="52"/>
      <c r="O102" s="52"/>
      <c r="P102" s="52"/>
      <c r="Q102" s="52"/>
      <c r="R102" s="52"/>
    </row>
    <row r="103" spans="2:18">
      <c r="K103" s="52"/>
      <c r="L103" s="52"/>
      <c r="M103" s="52"/>
      <c r="N103" s="52"/>
      <c r="O103" s="52"/>
      <c r="P103" s="52"/>
      <c r="Q103" s="52"/>
      <c r="R103" s="52"/>
    </row>
    <row r="104" spans="2:18">
      <c r="K104" s="52"/>
      <c r="L104" s="52"/>
      <c r="M104" s="52"/>
      <c r="N104" s="52"/>
      <c r="O104" s="52"/>
      <c r="P104" s="52"/>
      <c r="Q104" s="52"/>
      <c r="R104" s="52"/>
    </row>
    <row r="105" spans="2:18">
      <c r="K105" s="52"/>
      <c r="L105" s="52"/>
      <c r="M105" s="52"/>
      <c r="N105" s="52"/>
      <c r="O105" s="52"/>
      <c r="P105" s="52"/>
      <c r="Q105" s="52"/>
      <c r="R105" s="52"/>
    </row>
    <row r="106" spans="2:18">
      <c r="K106" s="52"/>
      <c r="L106" s="52"/>
      <c r="M106" s="52"/>
      <c r="N106" s="52"/>
      <c r="O106" s="52"/>
      <c r="P106" s="52"/>
      <c r="Q106" s="52"/>
      <c r="R106" s="52"/>
    </row>
    <row r="107" spans="2:18">
      <c r="K107" s="52"/>
      <c r="L107" s="52"/>
      <c r="M107" s="52"/>
      <c r="N107" s="52"/>
      <c r="O107" s="52"/>
      <c r="P107" s="52"/>
      <c r="Q107" s="52"/>
      <c r="R107" s="52"/>
    </row>
    <row r="108" spans="2:18">
      <c r="K108" s="52"/>
      <c r="L108" s="52"/>
      <c r="M108" s="52"/>
      <c r="N108" s="52"/>
      <c r="O108" s="52"/>
      <c r="P108" s="52"/>
      <c r="Q108" s="52"/>
      <c r="R108" s="52"/>
    </row>
    <row r="109" spans="2:18">
      <c r="K109" s="52"/>
      <c r="L109" s="52"/>
      <c r="M109" s="52"/>
      <c r="N109" s="52"/>
      <c r="O109" s="52"/>
      <c r="P109" s="52"/>
      <c r="Q109" s="52"/>
      <c r="R109" s="52"/>
    </row>
    <row r="110" spans="2:18">
      <c r="K110" s="52"/>
      <c r="L110" s="52"/>
      <c r="M110" s="52"/>
      <c r="N110" s="52"/>
      <c r="O110" s="52"/>
      <c r="P110" s="52"/>
      <c r="Q110" s="52"/>
      <c r="R110" s="52"/>
    </row>
    <row r="111" spans="2:18">
      <c r="K111" s="52"/>
      <c r="L111" s="52"/>
      <c r="M111" s="52"/>
      <c r="N111" s="52"/>
      <c r="O111" s="52"/>
      <c r="P111" s="52"/>
      <c r="Q111" s="52"/>
      <c r="R111" s="52"/>
    </row>
    <row r="112" spans="2:18">
      <c r="B112" s="52"/>
      <c r="C112" s="55"/>
      <c r="D112" s="55"/>
      <c r="E112" s="55"/>
      <c r="F112" s="55"/>
      <c r="G112" s="55"/>
      <c r="H112" s="55"/>
      <c r="I112" s="55"/>
      <c r="J112" s="52"/>
      <c r="K112" s="52"/>
      <c r="L112" s="52"/>
      <c r="M112" s="52"/>
      <c r="N112" s="52"/>
      <c r="O112" s="52"/>
      <c r="P112" s="52"/>
      <c r="Q112" s="52"/>
      <c r="R112" s="52"/>
    </row>
    <row r="113" spans="2:18">
      <c r="B113" s="52"/>
      <c r="C113" s="56"/>
      <c r="D113" s="55"/>
      <c r="E113" s="55"/>
      <c r="F113" s="55"/>
      <c r="G113" s="55"/>
      <c r="H113" s="55"/>
      <c r="I113" s="55"/>
      <c r="J113" s="52"/>
      <c r="K113" s="52"/>
      <c r="L113" s="52"/>
      <c r="M113" s="52"/>
      <c r="N113" s="52"/>
      <c r="O113" s="52"/>
      <c r="P113" s="52"/>
      <c r="Q113" s="52"/>
      <c r="R113" s="52"/>
    </row>
    <row r="114" spans="2:18">
      <c r="B114" s="53"/>
      <c r="C114" s="55"/>
      <c r="D114" s="55"/>
      <c r="E114" s="55"/>
      <c r="F114" s="55"/>
      <c r="G114" s="55"/>
      <c r="H114" s="55"/>
      <c r="I114" s="55"/>
      <c r="J114" s="52"/>
      <c r="K114" s="52"/>
      <c r="L114" s="52"/>
      <c r="M114" s="52"/>
      <c r="N114" s="52"/>
      <c r="O114" s="52"/>
      <c r="P114" s="52"/>
      <c r="Q114" s="52"/>
      <c r="R114" s="52"/>
    </row>
    <row r="115" spans="2:18">
      <c r="B115" s="52"/>
      <c r="C115" s="56"/>
      <c r="D115" s="55"/>
      <c r="E115" s="55"/>
      <c r="F115" s="55"/>
      <c r="G115" s="55"/>
      <c r="H115" s="55"/>
      <c r="I115" s="55"/>
      <c r="J115" s="52"/>
      <c r="K115" s="52"/>
      <c r="L115" s="52"/>
      <c r="M115" s="52"/>
      <c r="N115" s="52"/>
      <c r="O115" s="52"/>
      <c r="P115" s="52"/>
      <c r="Q115" s="52"/>
      <c r="R115" s="52"/>
    </row>
    <row r="116" spans="2:18">
      <c r="B116" s="53"/>
      <c r="C116" s="55"/>
      <c r="D116" s="55"/>
      <c r="E116" s="55"/>
      <c r="F116" s="55"/>
      <c r="G116" s="55"/>
      <c r="H116" s="55"/>
      <c r="I116" s="55"/>
      <c r="J116" s="52"/>
      <c r="K116" s="52"/>
      <c r="L116" s="52"/>
      <c r="M116" s="52"/>
      <c r="N116" s="52"/>
      <c r="O116" s="52"/>
      <c r="P116" s="52"/>
      <c r="Q116" s="52"/>
      <c r="R116" s="52"/>
    </row>
    <row r="117" spans="2:18">
      <c r="B117" s="52"/>
      <c r="C117" s="55"/>
      <c r="D117" s="55"/>
      <c r="E117" s="55"/>
      <c r="F117" s="55"/>
      <c r="G117" s="55"/>
      <c r="H117" s="55"/>
      <c r="I117" s="55"/>
      <c r="J117" s="52"/>
      <c r="K117" s="52"/>
      <c r="L117" s="52"/>
      <c r="M117" s="52"/>
      <c r="N117" s="52"/>
      <c r="O117" s="52"/>
      <c r="P117" s="52"/>
      <c r="Q117" s="52"/>
      <c r="R117" s="52"/>
    </row>
    <row r="118" spans="2:18">
      <c r="B118" s="52"/>
      <c r="C118" s="55"/>
      <c r="D118" s="55"/>
      <c r="E118" s="55"/>
      <c r="F118" s="55"/>
      <c r="G118" s="55"/>
      <c r="H118" s="55"/>
      <c r="I118" s="55"/>
      <c r="J118" s="52"/>
      <c r="K118" s="52"/>
      <c r="L118" s="52"/>
      <c r="M118" s="52"/>
      <c r="N118" s="52"/>
      <c r="O118" s="52"/>
      <c r="P118" s="52"/>
      <c r="Q118" s="52"/>
      <c r="R118" s="52"/>
    </row>
    <row r="119" spans="2:18">
      <c r="B119" s="52"/>
      <c r="C119" s="56"/>
      <c r="D119" s="55"/>
      <c r="E119" s="55"/>
      <c r="F119" s="55"/>
      <c r="G119" s="55"/>
      <c r="H119" s="55"/>
      <c r="I119" s="55"/>
      <c r="J119" s="52"/>
      <c r="K119" s="52"/>
      <c r="L119" s="52"/>
      <c r="M119" s="52"/>
      <c r="N119" s="52"/>
      <c r="O119" s="52"/>
      <c r="P119" s="52"/>
      <c r="Q119" s="52"/>
      <c r="R119" s="52"/>
    </row>
    <row r="120" spans="2:18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</row>
    <row r="121" spans="2:18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</row>
    <row r="122" spans="2:18">
      <c r="B122" s="53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</row>
    <row r="123" spans="2:18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</row>
    <row r="124" spans="2:18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</row>
    <row r="125" spans="2:18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</row>
    <row r="126" spans="2:18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</row>
  </sheetData>
  <phoneticPr fontId="26" type="noConversion"/>
  <dataValidations count="1">
    <dataValidation type="whole" allowBlank="1" showInputMessage="1" showErrorMessage="1" sqref="J11:J12 J15" xr:uid="{16597B75-2614-4E73-A4E1-9807FA035053}">
      <formula1>3</formula1>
      <formula2>6</formula2>
    </dataValidation>
  </dataValidations>
  <pageMargins left="0.7" right="0.7" top="0.75" bottom="0.75" header="0.3" footer="0.3"/>
  <pageSetup paperSize="9" scale="52" orientation="portrait" r:id="rId1"/>
  <colBreaks count="1" manualBreakCount="1">
    <brk id="10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PE_Waterfall</vt:lpstr>
      <vt:lpstr>Carry</vt:lpstr>
      <vt:lpstr>GP_Commit</vt:lpstr>
      <vt:lpstr>Gross_MOIC</vt:lpstr>
      <vt:lpstr>Inv_to_Comm_Capital</vt:lpstr>
      <vt:lpstr>Inv_Years</vt:lpstr>
      <vt:lpstr>LP_Com_Capital</vt:lpstr>
      <vt:lpstr>LP_Inv_Capital</vt:lpstr>
      <vt:lpstr>Mgmt_Fee_1</vt:lpstr>
      <vt:lpstr>Mgmt_Fee_2</vt:lpstr>
      <vt:lpstr>Pct_Carry_Comp</vt:lpstr>
      <vt:lpstr>Pref_Rate</vt:lpstr>
      <vt:lpstr>PE_Waterfall!Print_Area</vt:lpstr>
      <vt:lpstr>Realiz_Years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Brian DeChesare</cp:lastModifiedBy>
  <dcterms:created xsi:type="dcterms:W3CDTF">2026-04-04T03:40:06Z</dcterms:created>
  <dcterms:modified xsi:type="dcterms:W3CDTF">2026-09-23T04:34:10Z</dcterms:modified>
</cp:coreProperties>
</file>