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dech\BIWS Dropbox\Brian DeChesare\BIWS-All-Courses\100-Bonus-Case-Studies\Startups-VC\Flow-of-Funds\"/>
    </mc:Choice>
  </mc:AlternateContent>
  <xr:revisionPtr revIDLastSave="0" documentId="13_ncr:1_{063913D4-AC92-4493-9945-2126F1BF0A95}" xr6:coauthVersionLast="47" xr6:coauthVersionMax="47" xr10:uidLastSave="{00000000-0000-0000-0000-000000000000}"/>
  <bookViews>
    <workbookView xWindow="-103" yWindow="-103" windowWidth="33120" windowHeight="18000" tabRatio="590" xr2:uid="{00000000-000D-0000-FFFF-FFFF00000000}"/>
  </bookViews>
  <sheets>
    <sheet name="Funds_Flow" sheetId="23" r:id="rId1"/>
  </sheets>
  <definedNames>
    <definedName name="CIQWBGuid" hidden="1">"fedf60f8-2cd9-49ba-9fee-91fc372c3a0f"</definedName>
    <definedName name="Circ_Ref">Funds_Flow!$E$7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"08/30/2015 13:55:30"</definedName>
    <definedName name="IQ_QTD" hidden="1">750000</definedName>
    <definedName name="IQ_TODAY" hidden="1">0</definedName>
    <definedName name="IQ_YTDMONTH" hidden="1">130000</definedName>
    <definedName name="_xlnm.Print_Area" localSheetId="0">Funds_Flow!$A$1:$M$90</definedName>
    <definedName name="Units">Funds_Flow!$E$8</definedName>
  </definedNames>
  <calcPr calcId="191029" calcMode="autoNoTable" iterate="1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38" i="23" l="1"/>
  <c r="J38" i="23"/>
  <c r="H38" i="23"/>
  <c r="F38" i="23"/>
  <c r="D86" i="23"/>
  <c r="D87" i="23" s="1"/>
  <c r="D88" i="23" s="1"/>
  <c r="D89" i="23" s="1"/>
  <c r="F84" i="23"/>
  <c r="G84" i="23" s="1"/>
  <c r="H84" i="23" s="1"/>
  <c r="I84" i="23" s="1"/>
  <c r="E13" i="23"/>
  <c r="E15" i="23" s="1"/>
  <c r="D59" i="23"/>
  <c r="D49" i="23"/>
  <c r="D26" i="23"/>
  <c r="I34" i="23"/>
  <c r="J34" i="23"/>
  <c r="K34" i="23"/>
  <c r="L34" i="23"/>
  <c r="G36" i="23"/>
  <c r="H36" i="23"/>
  <c r="K36" i="23"/>
  <c r="L36" i="23"/>
  <c r="I40" i="23"/>
  <c r="J40" i="23"/>
  <c r="K40" i="23"/>
  <c r="L40" i="23"/>
  <c r="L54" i="23"/>
  <c r="K54" i="23"/>
  <c r="J54" i="23"/>
  <c r="I54" i="23"/>
  <c r="H54" i="23"/>
  <c r="G54" i="23"/>
  <c r="F54" i="23"/>
  <c r="L52" i="23"/>
  <c r="K52" i="23"/>
  <c r="J52" i="23"/>
  <c r="I52" i="23"/>
  <c r="H52" i="23"/>
  <c r="G52" i="23"/>
  <c r="F52" i="23"/>
  <c r="L51" i="23"/>
  <c r="K51" i="23"/>
  <c r="J51" i="23"/>
  <c r="I51" i="23"/>
  <c r="H51" i="23"/>
  <c r="G51" i="23"/>
  <c r="F51" i="23"/>
  <c r="L50" i="23"/>
  <c r="K50" i="23"/>
  <c r="J50" i="23"/>
  <c r="I50" i="23"/>
  <c r="H50" i="23"/>
  <c r="G50" i="23"/>
  <c r="F50" i="23"/>
  <c r="L21" i="23" l="1"/>
  <c r="E54" i="23" l="1"/>
  <c r="E52" i="23"/>
  <c r="E51" i="23"/>
  <c r="E50" i="23"/>
  <c r="F24" i="23" l="1"/>
  <c r="G22" i="23" s="1"/>
  <c r="E24" i="23"/>
  <c r="D24" i="23"/>
  <c r="L31" i="23" l="1"/>
  <c r="K31" i="23"/>
  <c r="J31" i="23"/>
  <c r="I31" i="23"/>
  <c r="H31" i="23"/>
  <c r="G31" i="23"/>
  <c r="F31" i="23"/>
  <c r="I22" i="23"/>
  <c r="G21" i="23"/>
  <c r="I21" i="23" s="1"/>
  <c r="E31" i="23"/>
  <c r="G19" i="23"/>
  <c r="I19" i="23" s="1"/>
  <c r="G20" i="23"/>
  <c r="I20" i="23" s="1"/>
  <c r="G23" i="23"/>
  <c r="I23" i="23" s="1"/>
  <c r="I24" i="23" l="1"/>
  <c r="G24" i="23"/>
  <c r="E32" i="23" l="1"/>
  <c r="F32" i="23"/>
  <c r="G32" i="23"/>
  <c r="H32" i="23"/>
  <c r="I32" i="23"/>
  <c r="J32" i="23"/>
  <c r="K32" i="23"/>
  <c r="L32" i="23"/>
  <c r="E33" i="23"/>
  <c r="F33" i="23"/>
  <c r="G33" i="23"/>
  <c r="H33" i="23"/>
  <c r="I33" i="23"/>
  <c r="J33" i="23"/>
  <c r="K33" i="23"/>
  <c r="L33" i="23"/>
  <c r="E34" i="23"/>
  <c r="F34" i="23"/>
  <c r="G34" i="23"/>
  <c r="H34" i="23"/>
  <c r="E35" i="23"/>
  <c r="F35" i="23"/>
  <c r="G35" i="23"/>
  <c r="H35" i="23"/>
  <c r="I35" i="23"/>
  <c r="J35" i="23"/>
  <c r="K35" i="23"/>
  <c r="L35" i="23"/>
  <c r="E36" i="23"/>
  <c r="F36" i="23"/>
  <c r="I36" i="23"/>
  <c r="J36" i="23"/>
  <c r="E37" i="23"/>
  <c r="F37" i="23"/>
  <c r="G37" i="23"/>
  <c r="H37" i="23"/>
  <c r="I37" i="23"/>
  <c r="J37" i="23"/>
  <c r="K37" i="23"/>
  <c r="L37" i="23"/>
  <c r="E38" i="23"/>
  <c r="G38" i="23"/>
  <c r="I38" i="23"/>
  <c r="K38" i="23"/>
  <c r="E39" i="23"/>
  <c r="F39" i="23"/>
  <c r="G39" i="23"/>
  <c r="H39" i="23"/>
  <c r="I39" i="23"/>
  <c r="J39" i="23"/>
  <c r="K39" i="23"/>
  <c r="L39" i="23"/>
  <c r="E40" i="23"/>
  <c r="F40" i="23"/>
  <c r="G40" i="23"/>
  <c r="H40" i="23"/>
  <c r="E41" i="23"/>
  <c r="F41" i="23"/>
  <c r="G41" i="23"/>
  <c r="H41" i="23"/>
  <c r="I41" i="23"/>
  <c r="J41" i="23"/>
  <c r="K41" i="23"/>
  <c r="L41" i="23"/>
  <c r="E42" i="23"/>
  <c r="F42" i="23"/>
  <c r="G42" i="23"/>
  <c r="H42" i="23"/>
  <c r="I42" i="23"/>
  <c r="J42" i="23"/>
  <c r="K42" i="23"/>
  <c r="L42" i="23"/>
  <c r="E43" i="23"/>
  <c r="F43" i="23"/>
  <c r="G43" i="23"/>
  <c r="H43" i="23"/>
  <c r="I43" i="23"/>
  <c r="J43" i="23"/>
  <c r="K43" i="23"/>
  <c r="L43" i="23"/>
  <c r="E44" i="23"/>
  <c r="F44" i="23"/>
  <c r="G44" i="23"/>
  <c r="H44" i="23"/>
  <c r="I44" i="23"/>
  <c r="J44" i="23"/>
  <c r="K44" i="23"/>
  <c r="L44" i="23"/>
  <c r="E45" i="23"/>
  <c r="F45" i="23"/>
  <c r="G45" i="23"/>
  <c r="H45" i="23"/>
  <c r="I45" i="23"/>
  <c r="J45" i="23"/>
  <c r="K45" i="23"/>
  <c r="L45" i="23"/>
  <c r="E46" i="23"/>
  <c r="F46" i="23"/>
  <c r="G46" i="23"/>
  <c r="H46" i="23"/>
  <c r="I46" i="23"/>
  <c r="J46" i="23"/>
  <c r="K46" i="23"/>
  <c r="L46" i="23"/>
  <c r="E47" i="23"/>
  <c r="F47" i="23"/>
  <c r="G47" i="23"/>
  <c r="H47" i="23"/>
  <c r="I47" i="23"/>
  <c r="J47" i="23"/>
  <c r="K47" i="23"/>
  <c r="L47" i="23"/>
  <c r="E53" i="23"/>
  <c r="F53" i="23"/>
  <c r="G53" i="23"/>
  <c r="H53" i="23"/>
  <c r="I53" i="23"/>
  <c r="J53" i="23"/>
  <c r="K53" i="23"/>
  <c r="L53" i="23"/>
  <c r="E55" i="23"/>
  <c r="F55" i="23"/>
  <c r="G55" i="23"/>
  <c r="H55" i="23"/>
  <c r="I55" i="23"/>
  <c r="J55" i="23"/>
  <c r="K55" i="23"/>
  <c r="L55" i="23"/>
  <c r="E57" i="23"/>
  <c r="F57" i="23"/>
  <c r="G57" i="23"/>
  <c r="H57" i="23"/>
  <c r="I57" i="23"/>
  <c r="J57" i="23"/>
  <c r="K57" i="23"/>
  <c r="L57" i="23"/>
  <c r="E60" i="23"/>
  <c r="F60" i="23"/>
  <c r="G60" i="23"/>
  <c r="H60" i="23"/>
  <c r="I60" i="23"/>
  <c r="J60" i="23"/>
  <c r="K60" i="23"/>
  <c r="L60" i="23"/>
  <c r="E61" i="23"/>
  <c r="F61" i="23"/>
  <c r="G61" i="23"/>
  <c r="H61" i="23"/>
  <c r="I61" i="23"/>
  <c r="J61" i="23"/>
  <c r="K61" i="23"/>
  <c r="L61" i="23"/>
  <c r="E62" i="23"/>
  <c r="F62" i="23"/>
  <c r="G62" i="23"/>
  <c r="H62" i="23"/>
  <c r="I62" i="23"/>
  <c r="J62" i="23"/>
  <c r="K62" i="23"/>
  <c r="L62" i="23"/>
  <c r="E63" i="23"/>
  <c r="F63" i="23"/>
  <c r="G63" i="23"/>
  <c r="H63" i="23"/>
  <c r="I63" i="23"/>
  <c r="J63" i="23"/>
  <c r="K63" i="23"/>
  <c r="L63" i="23"/>
  <c r="E64" i="23"/>
  <c r="F64" i="23"/>
  <c r="G64" i="23"/>
  <c r="H64" i="23"/>
  <c r="I64" i="23"/>
  <c r="J64" i="23"/>
  <c r="K64" i="23"/>
  <c r="L64" i="23"/>
  <c r="E65" i="23"/>
  <c r="F65" i="23"/>
  <c r="G65" i="23"/>
  <c r="H65" i="23"/>
  <c r="I65" i="23"/>
  <c r="J65" i="23"/>
  <c r="K65" i="23"/>
  <c r="L65" i="23"/>
  <c r="E67" i="23"/>
  <c r="F67" i="23"/>
  <c r="G67" i="23"/>
  <c r="H67" i="23"/>
  <c r="I67" i="23"/>
  <c r="J67" i="23"/>
  <c r="K67" i="23"/>
  <c r="L67" i="23"/>
  <c r="E68" i="23"/>
  <c r="F68" i="23"/>
  <c r="G68" i="23"/>
  <c r="H68" i="23"/>
  <c r="I68" i="23"/>
  <c r="J68" i="23"/>
  <c r="K68" i="23"/>
  <c r="L68" i="23"/>
  <c r="D72" i="23"/>
  <c r="E72" i="23"/>
  <c r="F72" i="23"/>
  <c r="D73" i="23"/>
  <c r="E73" i="23"/>
  <c r="F73" i="23"/>
  <c r="D74" i="23"/>
  <c r="E74" i="23"/>
  <c r="F74" i="23"/>
  <c r="D75" i="23"/>
  <c r="E75" i="23"/>
  <c r="D76" i="23"/>
  <c r="E76" i="23"/>
  <c r="D77" i="23"/>
  <c r="E77" i="23"/>
  <c r="F77" i="23"/>
  <c r="D84" i="23"/>
</calcChain>
</file>

<file path=xl/sharedStrings.xml><?xml version="1.0" encoding="utf-8"?>
<sst xmlns="http://schemas.openxmlformats.org/spreadsheetml/2006/main" count="137" uniqueCount="76">
  <si>
    <t>Units:</t>
  </si>
  <si>
    <t>$ M</t>
  </si>
  <si>
    <t>#</t>
  </si>
  <si>
    <t>x</t>
  </si>
  <si>
    <t>Total:</t>
  </si>
  <si>
    <t>N/A</t>
  </si>
  <si>
    <t>Sensitivity Tables:</t>
  </si>
  <si>
    <t>Exit Information by Investor Class:</t>
  </si>
  <si>
    <t>MOIC:</t>
  </si>
  <si>
    <t>Price:</t>
  </si>
  <si>
    <t>Series B Investors:</t>
  </si>
  <si>
    <t>Series C Investors:</t>
  </si>
  <si>
    <t>Common Shareholders (Founders/Executives):</t>
  </si>
  <si>
    <t>Allow Circular References:</t>
  </si>
  <si>
    <t>Common Share</t>
  </si>
  <si>
    <t>Exercise</t>
  </si>
  <si>
    <t>Exit Value</t>
  </si>
  <si>
    <t>Participating</t>
  </si>
  <si>
    <t>Participation</t>
  </si>
  <si>
    <t>Equivalents:</t>
  </si>
  <si>
    <t>% Ownership:</t>
  </si>
  <si>
    <t>If Converted:</t>
  </si>
  <si>
    <t>Preferred:</t>
  </si>
  <si>
    <t>Cap (x):</t>
  </si>
  <si>
    <t>Series C Conversion Into Common Stock:</t>
  </si>
  <si>
    <t>Series B Conversion Into Common Stock:</t>
  </si>
  <si>
    <t>Upfront Equity Purchase Price:</t>
  </si>
  <si>
    <t>(+) Additional Proceeds from Options Exercise:</t>
  </si>
  <si>
    <t>Proceeds to Equity Investors:</t>
  </si>
  <si>
    <t>Remaining Proceeds:</t>
  </si>
  <si>
    <t>(-) Series C Investor Proceeds from Liquidation Pref.:</t>
  </si>
  <si>
    <t>(-) Series B Investor Proceeds from Liquidation Pref.:</t>
  </si>
  <si>
    <t>(-) Series C Investors - Common Equity Proceeds:</t>
  </si>
  <si>
    <t>(-) Series B Investors - Common Equity Proceeds:</t>
  </si>
  <si>
    <t>(-) Common Shareholders (Founders/Executives):</t>
  </si>
  <si>
    <t>Total Remaining Proceeds:</t>
  </si>
  <si>
    <t>Share Counts Following Conversions:</t>
  </si>
  <si>
    <t>Series C Investors - Common Share Equivalents:</t>
  </si>
  <si>
    <t>Series B Investors - Common Share Equivalents:</t>
  </si>
  <si>
    <t>Implied Price per Common Share:</t>
  </si>
  <si>
    <t>Total Exit Proceeds by Investor Class:</t>
  </si>
  <si>
    <t>Best Overall Decision for All Investors:</t>
  </si>
  <si>
    <t>% Exit</t>
  </si>
  <si>
    <t>Proceeds:</t>
  </si>
  <si>
    <t>Proceeds to All VC Investors:</t>
  </si>
  <si>
    <t>($ in USD Millions Except for Per Share, Per Option, and Per Unit Data)</t>
  </si>
  <si>
    <t>Seed and Series A Investors:</t>
  </si>
  <si>
    <t>Employee Option Pool:</t>
  </si>
  <si>
    <t>Seed and Series A Conversion Into Common Stock:</t>
  </si>
  <si>
    <t>(-) Series C Investors - Participating Preferred Proceeds:</t>
  </si>
  <si>
    <t>(-) Employees - Option Pool:</t>
  </si>
  <si>
    <t>Employees - Option Pool:</t>
  </si>
  <si>
    <t>Exit Enterprise Value:</t>
  </si>
  <si>
    <t>Flow of Funds Analysis (Cap Table Waterfall):</t>
  </si>
  <si>
    <t>Flow of Funds Analysis (Cap Table Waterfall for Exit)</t>
  </si>
  <si>
    <t>Units (for Conversion):</t>
  </si>
  <si>
    <t>Liq. Pref.</t>
  </si>
  <si>
    <t>Amount:</t>
  </si>
  <si>
    <t>($ Millions):</t>
  </si>
  <si>
    <t>Part. Cap</t>
  </si>
  <si>
    <t>(-) Seed and Series A Investor Proceeds from Liq. Pref.:</t>
  </si>
  <si>
    <t>(-) Seed and Series A Investors - Common Equity Proc.:</t>
  </si>
  <si>
    <t># Shares</t>
  </si>
  <si>
    <t>Seed and Series A Investors - Common Share Equiv.:</t>
  </si>
  <si>
    <t>Revenue at Time of Exit:</t>
  </si>
  <si>
    <t>Exit TEV / Revenue Multiple:</t>
  </si>
  <si>
    <t>(-) Net Debt:</t>
  </si>
  <si>
    <t>Exit Equity Value &amp; Proceeds to Equity Investors:</t>
  </si>
  <si>
    <t>TEV / Revenue Exit Multiple:</t>
  </si>
  <si>
    <t>Sensitivity - VC Investor Proceeds vs. Exit Revenue and Exit Revenue Multiple:</t>
  </si>
  <si>
    <t>Cap Table Summary:</t>
  </si>
  <si>
    <t>$ as Stated</t>
  </si>
  <si>
    <t>Amount</t>
  </si>
  <si>
    <t>($ Millions)</t>
  </si>
  <si>
    <t>Employee Option Holders:</t>
  </si>
  <si>
    <t>Flow of Funds - Conversion Combinations: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</si>
</sst>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_);_(@_)"/>
    <numFmt numFmtId="165" formatCode="_(&quot;$&quot;* #,##0.0_);_(&quot;$&quot;* \(#,##0.0\);_(&quot;$&quot;* &quot;-&quot;?_);_(@_)"/>
    <numFmt numFmtId="166" formatCode="0.0%;\(0.0%\)"/>
    <numFmt numFmtId="168" formatCode="0.0\ \x"/>
    <numFmt numFmtId="169" formatCode="_(0.0%_);\(0.0%\);_(&quot;–&quot;_);_(@_)"/>
    <numFmt numFmtId="170" formatCode="_(&quot;$&quot;* #,##0.0_);_(&quot;$&quot;* \(#,##0.0\);_(&quot;$&quot;* &quot;-&quot;_);_(@_)"/>
    <numFmt numFmtId="171" formatCode="_(* #,##0.0_);_(* \(#,##0.0\);_(* &quot;-&quot;_);_(@_)"/>
    <numFmt numFmtId="172" formatCode="0_);\(0\)"/>
  </numFmts>
  <fonts count="2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rgb="FF0000FF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  <family val="2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2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1"/>
      <name val="Calibri"/>
      <family val="2"/>
    </font>
    <font>
      <sz val="8"/>
      <color indexed="8"/>
      <name val="Arial"/>
      <family val="2"/>
    </font>
    <font>
      <sz val="12"/>
      <color theme="0" tint="-0.14999847407452621"/>
      <name val="Calibri"/>
      <family val="2"/>
      <scheme val="minor"/>
    </font>
    <font>
      <u/>
      <sz val="11"/>
      <color theme="10"/>
      <name val="Calibri"/>
      <family val="2"/>
    </font>
    <font>
      <b/>
      <i/>
      <sz val="12"/>
      <color theme="1"/>
      <name val="Calibri"/>
      <family val="2"/>
      <scheme val="minor"/>
    </font>
    <font>
      <sz val="12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1F4E78"/>
        <bgColor indexed="64"/>
      </patternFill>
    </fill>
    <fill>
      <patternFill patternType="solid">
        <fgColor rgb="FF1F497D"/>
        <bgColor indexed="64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B2B2B2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auto="1"/>
      </bottom>
      <diagonal/>
    </border>
  </borders>
  <cellStyleXfs count="19">
    <xf numFmtId="0" fontId="0" fillId="0" borderId="0"/>
    <xf numFmtId="0" fontId="5" fillId="2" borderId="1" applyNumberFormat="0" applyFont="0" applyAlignment="0" applyProtection="0"/>
    <xf numFmtId="0" fontId="12" fillId="0" borderId="0"/>
    <xf numFmtId="0" fontId="5" fillId="0" borderId="0"/>
    <xf numFmtId="0" fontId="18" fillId="0" borderId="0"/>
    <xf numFmtId="0" fontId="18" fillId="0" borderId="0"/>
    <xf numFmtId="0" fontId="4" fillId="0" borderId="0"/>
    <xf numFmtId="0" fontId="4" fillId="2" borderId="1" applyNumberFormat="0" applyFont="0" applyAlignment="0" applyProtection="0"/>
    <xf numFmtId="0" fontId="5" fillId="0" borderId="0"/>
    <xf numFmtId="0" fontId="5" fillId="0" borderId="0"/>
    <xf numFmtId="0" fontId="19" fillId="0" borderId="0" applyAlignment="0"/>
    <xf numFmtId="0" fontId="3" fillId="0" borderId="0"/>
    <xf numFmtId="0" fontId="3" fillId="2" borderId="1" applyNumberFormat="0" applyFont="0" applyAlignment="0" applyProtection="0"/>
    <xf numFmtId="0" fontId="2" fillId="0" borderId="0"/>
    <xf numFmtId="0" fontId="5" fillId="0" borderId="0"/>
    <xf numFmtId="0" fontId="21" fillId="0" borderId="0" applyNumberFormat="0" applyFill="0" applyBorder="0" applyAlignment="0" applyProtection="0"/>
    <xf numFmtId="0" fontId="5" fillId="2" borderId="1" applyNumberFormat="0" applyFont="0" applyAlignment="0" applyProtection="0"/>
    <xf numFmtId="0" fontId="1" fillId="0" borderId="0"/>
    <xf numFmtId="0" fontId="1" fillId="2" borderId="1" applyNumberFormat="0" applyFont="0" applyAlignment="0" applyProtection="0"/>
  </cellStyleXfs>
  <cellXfs count="107">
    <xf numFmtId="0" fontId="0" fillId="0" borderId="0" xfId="0"/>
    <xf numFmtId="0" fontId="8" fillId="0" borderId="0" xfId="0" applyFont="1" applyAlignment="1">
      <alignment horizontal="center"/>
    </xf>
    <xf numFmtId="164" fontId="6" fillId="0" borderId="0" xfId="0" applyNumberFormat="1" applyFont="1"/>
    <xf numFmtId="44" fontId="10" fillId="0" borderId="0" xfId="0" applyNumberFormat="1" applyFont="1"/>
    <xf numFmtId="0" fontId="16" fillId="5" borderId="2" xfId="0" applyFont="1" applyFill="1" applyBorder="1" applyAlignment="1">
      <alignment horizontal="center"/>
    </xf>
    <xf numFmtId="0" fontId="13" fillId="6" borderId="2" xfId="5" applyFont="1" applyFill="1" applyBorder="1"/>
    <xf numFmtId="0" fontId="16" fillId="6" borderId="2" xfId="5" applyFont="1" applyFill="1" applyBorder="1"/>
    <xf numFmtId="0" fontId="15" fillId="6" borderId="2" xfId="5" applyFont="1" applyFill="1" applyBorder="1"/>
    <xf numFmtId="0" fontId="17" fillId="6" borderId="2" xfId="5" applyFont="1" applyFill="1" applyBorder="1"/>
    <xf numFmtId="0" fontId="10" fillId="6" borderId="5" xfId="2" applyFont="1" applyFill="1" applyBorder="1"/>
    <xf numFmtId="0" fontId="10" fillId="6" borderId="4" xfId="2" applyFont="1" applyFill="1" applyBorder="1"/>
    <xf numFmtId="0" fontId="13" fillId="6" borderId="4" xfId="2" applyFont="1" applyFill="1" applyBorder="1" applyAlignment="1">
      <alignment horizontal="centerContinuous"/>
    </xf>
    <xf numFmtId="0" fontId="11" fillId="6" borderId="4" xfId="2" applyFont="1" applyFill="1" applyBorder="1" applyAlignment="1">
      <alignment horizontal="centerContinuous"/>
    </xf>
    <xf numFmtId="0" fontId="11" fillId="6" borderId="7" xfId="2" applyFont="1" applyFill="1" applyBorder="1" applyAlignment="1">
      <alignment horizontal="centerContinuous"/>
    </xf>
    <xf numFmtId="0" fontId="10" fillId="6" borderId="9" xfId="2" applyFont="1" applyFill="1" applyBorder="1"/>
    <xf numFmtId="0" fontId="7" fillId="0" borderId="0" xfId="5" applyFont="1"/>
    <xf numFmtId="169" fontId="20" fillId="3" borderId="0" xfId="2" applyNumberFormat="1" applyFont="1" applyFill="1"/>
    <xf numFmtId="0" fontId="1" fillId="0" borderId="0" xfId="0" applyFont="1"/>
    <xf numFmtId="172" fontId="9" fillId="4" borderId="1" xfId="1" applyNumberFormat="1" applyFont="1" applyFill="1" applyAlignment="1">
      <alignment horizontal="center"/>
    </xf>
    <xf numFmtId="0" fontId="14" fillId="0" borderId="0" xfId="17" applyFont="1"/>
    <xf numFmtId="0" fontId="1" fillId="0" borderId="0" xfId="17"/>
    <xf numFmtId="0" fontId="13" fillId="5" borderId="2" xfId="17" applyFont="1" applyFill="1" applyBorder="1"/>
    <xf numFmtId="0" fontId="16" fillId="5" borderId="2" xfId="17" applyFont="1" applyFill="1" applyBorder="1" applyAlignment="1">
      <alignment horizontal="center"/>
    </xf>
    <xf numFmtId="0" fontId="15" fillId="5" borderId="2" xfId="17" applyFont="1" applyFill="1" applyBorder="1"/>
    <xf numFmtId="0" fontId="8" fillId="0" borderId="0" xfId="17" applyFont="1" applyAlignment="1">
      <alignment horizontal="center"/>
    </xf>
    <xf numFmtId="41" fontId="1" fillId="0" borderId="0" xfId="17" applyNumberFormat="1"/>
    <xf numFmtId="0" fontId="7" fillId="3" borderId="0" xfId="17" applyFont="1" applyFill="1"/>
    <xf numFmtId="0" fontId="7" fillId="3" borderId="0" xfId="17" applyFont="1" applyFill="1" applyAlignment="1">
      <alignment horizontal="center"/>
    </xf>
    <xf numFmtId="0" fontId="7" fillId="3" borderId="2" xfId="17" applyFont="1" applyFill="1" applyBorder="1"/>
    <xf numFmtId="0" fontId="7" fillId="3" borderId="2" xfId="17" applyFont="1" applyFill="1" applyBorder="1" applyAlignment="1">
      <alignment horizontal="center"/>
    </xf>
    <xf numFmtId="166" fontId="10" fillId="0" borderId="0" xfId="17" applyNumberFormat="1" applyFont="1" applyAlignment="1">
      <alignment horizontal="center"/>
    </xf>
    <xf numFmtId="42" fontId="1" fillId="0" borderId="0" xfId="17" applyNumberFormat="1"/>
    <xf numFmtId="37" fontId="6" fillId="0" borderId="0" xfId="17" applyNumberFormat="1" applyFont="1" applyAlignment="1">
      <alignment horizontal="center"/>
    </xf>
    <xf numFmtId="0" fontId="1" fillId="0" borderId="0" xfId="17" applyAlignment="1">
      <alignment horizontal="left" indent="1"/>
    </xf>
    <xf numFmtId="3" fontId="6" fillId="0" borderId="0" xfId="17" applyNumberFormat="1" applyFont="1"/>
    <xf numFmtId="168" fontId="10" fillId="0" borderId="0" xfId="17" applyNumberFormat="1" applyFont="1" applyAlignment="1">
      <alignment horizontal="center"/>
    </xf>
    <xf numFmtId="168" fontId="6" fillId="0" borderId="0" xfId="17" applyNumberFormat="1" applyFont="1" applyAlignment="1">
      <alignment horizontal="center"/>
    </xf>
    <xf numFmtId="44" fontId="6" fillId="0" borderId="0" xfId="0" applyNumberFormat="1" applyFont="1"/>
    <xf numFmtId="0" fontId="8" fillId="0" borderId="2" xfId="17" applyFont="1" applyBorder="1" applyAlignment="1">
      <alignment horizontal="center"/>
    </xf>
    <xf numFmtId="3" fontId="6" fillId="0" borderId="2" xfId="17" applyNumberFormat="1" applyFont="1" applyBorder="1"/>
    <xf numFmtId="0" fontId="1" fillId="0" borderId="2" xfId="17" applyBorder="1"/>
    <xf numFmtId="168" fontId="10" fillId="0" borderId="2" xfId="17" applyNumberFormat="1" applyFont="1" applyBorder="1"/>
    <xf numFmtId="0" fontId="7" fillId="0" borderId="3" xfId="17" applyFont="1" applyBorder="1"/>
    <xf numFmtId="41" fontId="7" fillId="0" borderId="3" xfId="17" applyNumberFormat="1" applyFont="1" applyBorder="1"/>
    <xf numFmtId="3" fontId="7" fillId="0" borderId="0" xfId="17" applyNumberFormat="1" applyFont="1"/>
    <xf numFmtId="166" fontId="7" fillId="0" borderId="3" xfId="17" applyNumberFormat="1" applyFont="1" applyBorder="1" applyAlignment="1">
      <alignment horizontal="center"/>
    </xf>
    <xf numFmtId="0" fontId="1" fillId="0" borderId="3" xfId="17" applyBorder="1"/>
    <xf numFmtId="166" fontId="1" fillId="0" borderId="0" xfId="17" applyNumberFormat="1"/>
    <xf numFmtId="0" fontId="7" fillId="0" borderId="0" xfId="17" applyFont="1"/>
    <xf numFmtId="0" fontId="7" fillId="0" borderId="3" xfId="17" applyFont="1" applyBorder="1" applyAlignment="1">
      <alignment horizontal="left"/>
    </xf>
    <xf numFmtId="0" fontId="8" fillId="0" borderId="3" xfId="17" applyFont="1" applyBorder="1" applyAlignment="1">
      <alignment horizontal="center"/>
    </xf>
    <xf numFmtId="0" fontId="7" fillId="3" borderId="2" xfId="17" applyFont="1" applyFill="1" applyBorder="1" applyAlignment="1">
      <alignment horizontal="left"/>
    </xf>
    <xf numFmtId="41" fontId="7" fillId="3" borderId="2" xfId="17" applyNumberFormat="1" applyFont="1" applyFill="1" applyBorder="1" applyAlignment="1">
      <alignment horizontal="center"/>
    </xf>
    <xf numFmtId="0" fontId="1" fillId="0" borderId="2" xfId="17" applyBorder="1" applyAlignment="1">
      <alignment horizontal="left" indent="1"/>
    </xf>
    <xf numFmtId="0" fontId="1" fillId="0" borderId="0" xfId="17" applyAlignment="1">
      <alignment horizontal="left"/>
    </xf>
    <xf numFmtId="37" fontId="10" fillId="0" borderId="0" xfId="17" applyNumberFormat="1" applyFont="1" applyAlignment="1">
      <alignment horizontal="center"/>
    </xf>
    <xf numFmtId="168" fontId="1" fillId="0" borderId="0" xfId="17" applyNumberFormat="1" applyAlignment="1">
      <alignment horizontal="center"/>
    </xf>
    <xf numFmtId="168" fontId="6" fillId="0" borderId="2" xfId="17" applyNumberFormat="1" applyFont="1" applyBorder="1" applyAlignment="1">
      <alignment horizontal="center"/>
    </xf>
    <xf numFmtId="168" fontId="7" fillId="0" borderId="0" xfId="17" applyNumberFormat="1" applyFont="1" applyAlignment="1">
      <alignment horizontal="center"/>
    </xf>
    <xf numFmtId="43" fontId="1" fillId="0" borderId="0" xfId="17" applyNumberFormat="1"/>
    <xf numFmtId="0" fontId="1" fillId="0" borderId="0" xfId="17" quotePrefix="1"/>
    <xf numFmtId="164" fontId="6" fillId="0" borderId="0" xfId="17" applyNumberFormat="1" applyFont="1"/>
    <xf numFmtId="171" fontId="1" fillId="0" borderId="0" xfId="17" applyNumberFormat="1"/>
    <xf numFmtId="171" fontId="7" fillId="0" borderId="3" xfId="17" applyNumberFormat="1" applyFont="1" applyBorder="1"/>
    <xf numFmtId="171" fontId="1" fillId="0" borderId="2" xfId="17" applyNumberFormat="1" applyBorder="1"/>
    <xf numFmtId="170" fontId="7" fillId="0" borderId="0" xfId="17" applyNumberFormat="1" applyFont="1"/>
    <xf numFmtId="170" fontId="7" fillId="0" borderId="3" xfId="17" applyNumberFormat="1" applyFont="1" applyBorder="1"/>
    <xf numFmtId="0" fontId="13" fillId="6" borderId="9" xfId="2" applyFont="1" applyFill="1" applyBorder="1" applyAlignment="1">
      <alignment horizontal="center" vertical="center" wrapText="1"/>
    </xf>
    <xf numFmtId="165" fontId="6" fillId="0" borderId="0" xfId="17" applyNumberFormat="1" applyFont="1"/>
    <xf numFmtId="165" fontId="1" fillId="0" borderId="0" xfId="17" applyNumberFormat="1"/>
    <xf numFmtId="0" fontId="22" fillId="3" borderId="2" xfId="17" applyFont="1" applyFill="1" applyBorder="1" applyAlignment="1">
      <alignment horizontal="center"/>
    </xf>
    <xf numFmtId="37" fontId="9" fillId="0" borderId="0" xfId="1" applyNumberFormat="1" applyFont="1" applyFill="1" applyBorder="1" applyAlignment="1">
      <alignment horizontal="center"/>
    </xf>
    <xf numFmtId="37" fontId="9" fillId="4" borderId="1" xfId="1" applyNumberFormat="1" applyFont="1" applyFill="1" applyBorder="1" applyAlignment="1">
      <alignment horizontal="center"/>
    </xf>
    <xf numFmtId="168" fontId="6" fillId="4" borderId="1" xfId="2" applyNumberFormat="1" applyFont="1" applyFill="1" applyBorder="1" applyAlignment="1">
      <alignment horizontal="center"/>
    </xf>
    <xf numFmtId="165" fontId="9" fillId="4" borderId="1" xfId="18" applyNumberFormat="1" applyFont="1" applyFill="1" applyBorder="1" applyAlignment="1">
      <alignment horizontal="center"/>
    </xf>
    <xf numFmtId="168" fontId="6" fillId="0" borderId="8" xfId="2" applyNumberFormat="1" applyFont="1" applyFill="1" applyBorder="1" applyAlignment="1">
      <alignment horizontal="center"/>
    </xf>
    <xf numFmtId="164" fontId="23" fillId="0" borderId="0" xfId="1" applyNumberFormat="1" applyFont="1" applyFill="1" applyBorder="1" applyAlignment="1"/>
    <xf numFmtId="164" fontId="1" fillId="0" borderId="3" xfId="17" applyNumberFormat="1" applyBorder="1"/>
    <xf numFmtId="164" fontId="7" fillId="0" borderId="3" xfId="17" applyNumberFormat="1" applyFont="1" applyBorder="1"/>
    <xf numFmtId="171" fontId="7" fillId="0" borderId="0" xfId="17" applyNumberFormat="1" applyFont="1"/>
    <xf numFmtId="164" fontId="9" fillId="4" borderId="11" xfId="18" applyNumberFormat="1" applyFont="1" applyFill="1" applyBorder="1" applyAlignment="1">
      <alignment horizontal="center"/>
    </xf>
    <xf numFmtId="42" fontId="10" fillId="0" borderId="0" xfId="2" applyNumberFormat="1" applyFont="1" applyFill="1" applyBorder="1" applyAlignment="1">
      <alignment horizontal="center"/>
    </xf>
    <xf numFmtId="42" fontId="1" fillId="0" borderId="0" xfId="17" applyNumberFormat="1" applyFill="1" applyBorder="1"/>
    <xf numFmtId="41" fontId="7" fillId="0" borderId="0" xfId="17" applyNumberFormat="1" applyFont="1" applyFill="1" applyBorder="1"/>
    <xf numFmtId="41" fontId="1" fillId="0" borderId="0" xfId="17" applyNumberFormat="1" applyFill="1" applyBorder="1"/>
    <xf numFmtId="0" fontId="1" fillId="0" borderId="0" xfId="17" applyFill="1" applyBorder="1"/>
    <xf numFmtId="0" fontId="11" fillId="0" borderId="0" xfId="2" applyFont="1" applyFill="1" applyBorder="1" applyAlignment="1"/>
    <xf numFmtId="168" fontId="6" fillId="3" borderId="9" xfId="2" applyNumberFormat="1" applyFont="1" applyFill="1" applyBorder="1" applyAlignment="1">
      <alignment horizontal="center"/>
    </xf>
    <xf numFmtId="168" fontId="11" fillId="3" borderId="9" xfId="2" applyNumberFormat="1" applyFont="1" applyFill="1" applyBorder="1" applyAlignment="1">
      <alignment horizontal="center"/>
    </xf>
    <xf numFmtId="168" fontId="10" fillId="3" borderId="9" xfId="2" applyNumberFormat="1" applyFont="1" applyFill="1" applyBorder="1" applyAlignment="1">
      <alignment horizont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8" fontId="10" fillId="3" borderId="10" xfId="2" applyNumberFormat="1" applyFont="1" applyFill="1" applyBorder="1" applyAlignment="1">
      <alignment horizontal="center"/>
    </xf>
    <xf numFmtId="171" fontId="7" fillId="0" borderId="6" xfId="17" applyNumberFormat="1" applyFont="1" applyBorder="1"/>
    <xf numFmtId="171" fontId="1" fillId="0" borderId="6" xfId="17" applyNumberFormat="1" applyBorder="1"/>
    <xf numFmtId="171" fontId="1" fillId="0" borderId="6" xfId="17" applyNumberFormat="1" applyFont="1" applyBorder="1"/>
    <xf numFmtId="171" fontId="1" fillId="0" borderId="0" xfId="17" applyNumberFormat="1" applyFont="1"/>
    <xf numFmtId="165" fontId="6" fillId="3" borderId="4" xfId="2" applyNumberFormat="1" applyFont="1" applyFill="1" applyBorder="1" applyAlignment="1">
      <alignment horizontal="center"/>
    </xf>
    <xf numFmtId="165" fontId="10" fillId="3" borderId="4" xfId="2" applyNumberFormat="1" applyFont="1" applyFill="1" applyBorder="1" applyAlignment="1">
      <alignment horizontal="center"/>
    </xf>
    <xf numFmtId="165" fontId="11" fillId="3" borderId="4" xfId="2" applyNumberFormat="1" applyFont="1" applyFill="1" applyBorder="1" applyAlignment="1">
      <alignment horizontal="center"/>
    </xf>
    <xf numFmtId="165" fontId="7" fillId="0" borderId="3" xfId="17" applyNumberFormat="1" applyFont="1" applyBorder="1"/>
    <xf numFmtId="164" fontId="1" fillId="0" borderId="5" xfId="17" applyNumberFormat="1" applyBorder="1"/>
    <xf numFmtId="164" fontId="1" fillId="0" borderId="3" xfId="17" applyNumberFormat="1" applyFont="1" applyBorder="1"/>
    <xf numFmtId="165" fontId="10" fillId="3" borderId="7" xfId="2" applyNumberFormat="1" applyFont="1" applyFill="1" applyBorder="1" applyAlignment="1">
      <alignment horizontal="center"/>
    </xf>
    <xf numFmtId="164" fontId="7" fillId="0" borderId="0" xfId="17" applyNumberFormat="1" applyFont="1"/>
    <xf numFmtId="0" fontId="7" fillId="0" borderId="0" xfId="17" applyFont="1" applyFill="1" applyBorder="1" applyAlignment="1">
      <alignment horizontal="center"/>
    </xf>
    <xf numFmtId="0" fontId="6" fillId="0" borderId="0" xfId="17" applyFont="1" applyFill="1" applyBorder="1"/>
  </cellXfs>
  <cellStyles count="19">
    <cellStyle name="Hyperlink 2" xfId="15" xr:uid="{CF6F7E0A-488A-485C-B84D-B2FD7296D7BE}"/>
    <cellStyle name="Normal" xfId="0" builtinId="0"/>
    <cellStyle name="Normal 2" xfId="2" xr:uid="{00000000-0005-0000-0000-000001000000}"/>
    <cellStyle name="Normal 3" xfId="5" xr:uid="{A41324E1-7A7D-4045-8E60-C6E266E128E3}"/>
    <cellStyle name="Normal 3 2" xfId="3" xr:uid="{2719BAB6-E2D3-43BD-B4A5-9A4B3131E6D7}"/>
    <cellStyle name="Normal 3 2 2 2" xfId="14" xr:uid="{E128F3FF-3415-4E53-B7FD-3806A935F3DE}"/>
    <cellStyle name="Normal 3 3" xfId="13" xr:uid="{BD48FBBB-9D15-4671-9388-6EA08F2E15A5}"/>
    <cellStyle name="Normal 3 4" xfId="9" xr:uid="{9BBCE4AA-645B-4DAD-B355-6D95F48BB224}"/>
    <cellStyle name="Normal 4" xfId="6" xr:uid="{5F774512-93F7-407A-94EC-7B44A35A9011}"/>
    <cellStyle name="Normal 4 2" xfId="11" xr:uid="{2180CFFD-7177-404A-9616-4021C266A673}"/>
    <cellStyle name="Normal 4 3" xfId="17" xr:uid="{EE204BE8-FAFE-498A-8DAF-6C4754F5881B}"/>
    <cellStyle name="Normal 5 2" xfId="8" xr:uid="{764EF75D-9FF7-4771-A549-66F4579EC7DD}"/>
    <cellStyle name="Normal 5 3" xfId="4" xr:uid="{87127423-7BD1-4436-8D3E-D0983CAA394D}"/>
    <cellStyle name="Note" xfId="1" builtinId="10"/>
    <cellStyle name="Note 2" xfId="7" xr:uid="{3897B675-8474-487C-BDE0-0A84A5A1850E}"/>
    <cellStyle name="Note 2 2" xfId="12" xr:uid="{036F412D-3579-44BF-91A2-E6AA55CA3E85}"/>
    <cellStyle name="Note 2 3" xfId="16" xr:uid="{9A1DA3C6-D1B3-4D03-839E-835DC83AF6F5}"/>
    <cellStyle name="Note 2 4" xfId="18" xr:uid="{CE63E0FA-883A-48BA-AFDA-E2E7CAC3D0C7}"/>
    <cellStyle name="TextNormal" xfId="10" xr:uid="{5FF6DAAE-B677-4033-BA2E-C877D6DD3D17}"/>
  </cellStyles>
  <dxfs count="0"/>
  <tableStyles count="0" defaultTableStyle="TableStyleMedium2" defaultPivotStyle="PivotStyleLight16"/>
  <colors>
    <mruColors>
      <color rgb="FF0000FF"/>
      <color rgb="FFFFFF99"/>
      <color rgb="FFB2B2B2"/>
      <color rgb="FFDDEBF7"/>
      <color rgb="FFDCE6F1"/>
      <color rgb="FF1F4E78"/>
      <color rgb="FF538DD5"/>
      <color rgb="FFC5D9F1"/>
      <color rgb="FF8DB4E2"/>
      <color rgb="FF4F81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A28C5-8047-457E-BAA9-3F809722D006}">
  <sheetPr>
    <pageSetUpPr autoPageBreaks="0"/>
  </sheetPr>
  <dimension ref="B2:O90"/>
  <sheetViews>
    <sheetView showGridLines="0" tabSelected="1" zoomScaleNormal="100" workbookViewId="0">
      <selection activeCell="B2" sqref="B2"/>
    </sheetView>
  </sheetViews>
  <sheetFormatPr defaultColWidth="9.15234375" defaultRowHeight="15.9" outlineLevelRow="1" x14ac:dyDescent="0.45"/>
  <cols>
    <col min="1" max="2" width="3" style="20" customWidth="1"/>
    <col min="3" max="3" width="50.84375" style="20" bestFit="1" customWidth="1"/>
    <col min="4" max="4" width="15.53515625" style="20" customWidth="1"/>
    <col min="5" max="12" width="16.84375" style="20" customWidth="1"/>
    <col min="13" max="14" width="2.69140625" style="20" customWidth="1"/>
    <col min="15" max="22" width="16.84375" style="20" customWidth="1"/>
    <col min="23" max="16384" width="9.15234375" style="20"/>
  </cols>
  <sheetData>
    <row r="2" spans="2:12" ht="18.45" x14ac:dyDescent="0.5">
      <c r="B2" s="19" t="s">
        <v>54</v>
      </c>
    </row>
    <row r="3" spans="2:12" x14ac:dyDescent="0.45">
      <c r="B3" s="20" t="s">
        <v>45</v>
      </c>
    </row>
    <row r="5" spans="2:12" x14ac:dyDescent="0.45">
      <c r="B5" s="21" t="s">
        <v>53</v>
      </c>
      <c r="C5" s="21"/>
      <c r="D5" s="4" t="s">
        <v>0</v>
      </c>
      <c r="E5" s="22"/>
      <c r="F5" s="23"/>
      <c r="G5" s="23"/>
      <c r="H5" s="23"/>
      <c r="I5" s="23"/>
      <c r="J5" s="23"/>
      <c r="K5" s="23"/>
      <c r="L5" s="23"/>
    </row>
    <row r="6" spans="2:12" outlineLevel="1" x14ac:dyDescent="0.45"/>
    <row r="7" spans="2:12" outlineLevel="1" x14ac:dyDescent="0.45">
      <c r="C7" s="17" t="s">
        <v>13</v>
      </c>
      <c r="D7" s="1" t="s">
        <v>2</v>
      </c>
      <c r="E7" s="18">
        <v>1</v>
      </c>
    </row>
    <row r="8" spans="2:12" outlineLevel="1" x14ac:dyDescent="0.45">
      <c r="C8" s="17" t="s">
        <v>55</v>
      </c>
      <c r="D8" s="1" t="s">
        <v>2</v>
      </c>
      <c r="E8" s="72">
        <v>1000000</v>
      </c>
    </row>
    <row r="9" spans="2:12" outlineLevel="1" x14ac:dyDescent="0.45">
      <c r="C9" s="17"/>
      <c r="D9" s="1"/>
      <c r="E9" s="71"/>
    </row>
    <row r="10" spans="2:12" outlineLevel="1" x14ac:dyDescent="0.45">
      <c r="C10" s="20" t="s">
        <v>64</v>
      </c>
      <c r="D10" s="24" t="s">
        <v>1</v>
      </c>
      <c r="E10" s="74">
        <v>400</v>
      </c>
    </row>
    <row r="11" spans="2:12" outlineLevel="1" x14ac:dyDescent="0.45">
      <c r="C11" s="20" t="s">
        <v>65</v>
      </c>
      <c r="D11" s="24" t="s">
        <v>3</v>
      </c>
      <c r="E11" s="73">
        <v>4</v>
      </c>
    </row>
    <row r="12" spans="2:12" outlineLevel="1" x14ac:dyDescent="0.45">
      <c r="D12" s="24"/>
      <c r="E12" s="75"/>
    </row>
    <row r="13" spans="2:12" outlineLevel="1" x14ac:dyDescent="0.45">
      <c r="C13" s="20" t="s">
        <v>52</v>
      </c>
      <c r="D13" s="24" t="s">
        <v>1</v>
      </c>
      <c r="E13" s="76">
        <f>E11*E10</f>
        <v>1600</v>
      </c>
    </row>
    <row r="14" spans="2:12" outlineLevel="1" x14ac:dyDescent="0.45">
      <c r="C14" s="33" t="s">
        <v>66</v>
      </c>
      <c r="D14" s="38" t="s">
        <v>1</v>
      </c>
      <c r="E14" s="80">
        <v>-400</v>
      </c>
    </row>
    <row r="15" spans="2:12" outlineLevel="1" x14ac:dyDescent="0.45">
      <c r="C15" s="42" t="s">
        <v>67</v>
      </c>
      <c r="D15" s="24" t="s">
        <v>1</v>
      </c>
      <c r="E15" s="79">
        <f>SUM(E13:E14)</f>
        <v>1200</v>
      </c>
    </row>
    <row r="16" spans="2:12" outlineLevel="1" x14ac:dyDescent="0.45"/>
    <row r="17" spans="3:12" outlineLevel="1" x14ac:dyDescent="0.45">
      <c r="C17" s="26"/>
      <c r="D17" s="27" t="s">
        <v>57</v>
      </c>
      <c r="E17" s="27" t="s">
        <v>56</v>
      </c>
      <c r="F17" s="27" t="s">
        <v>14</v>
      </c>
      <c r="G17" s="26"/>
      <c r="H17" s="27" t="s">
        <v>15</v>
      </c>
      <c r="I17" s="27" t="s">
        <v>16</v>
      </c>
      <c r="J17" s="27" t="s">
        <v>17</v>
      </c>
      <c r="K17" s="27" t="s">
        <v>18</v>
      </c>
      <c r="L17" s="27" t="s">
        <v>59</v>
      </c>
    </row>
    <row r="18" spans="3:12" outlineLevel="1" x14ac:dyDescent="0.45">
      <c r="C18" s="28" t="s">
        <v>70</v>
      </c>
      <c r="D18" s="29" t="s">
        <v>58</v>
      </c>
      <c r="E18" s="29" t="s">
        <v>58</v>
      </c>
      <c r="F18" s="29" t="s">
        <v>19</v>
      </c>
      <c r="G18" s="29" t="s">
        <v>20</v>
      </c>
      <c r="H18" s="29" t="s">
        <v>9</v>
      </c>
      <c r="I18" s="29" t="s">
        <v>21</v>
      </c>
      <c r="J18" s="29" t="s">
        <v>22</v>
      </c>
      <c r="K18" s="29" t="s">
        <v>23</v>
      </c>
      <c r="L18" s="29" t="s">
        <v>58</v>
      </c>
    </row>
    <row r="19" spans="3:12" outlineLevel="1" x14ac:dyDescent="0.45">
      <c r="C19" s="33" t="s">
        <v>46</v>
      </c>
      <c r="D19" s="68">
        <v>15</v>
      </c>
      <c r="E19" s="68">
        <v>15</v>
      </c>
      <c r="F19" s="34">
        <v>1346153.846153846</v>
      </c>
      <c r="G19" s="30">
        <f>F19/$F$24</f>
        <v>0.1398268398268398</v>
      </c>
      <c r="I19" s="69">
        <f>G19*$E$15</f>
        <v>167.79220779220776</v>
      </c>
      <c r="J19" s="32">
        <v>0</v>
      </c>
      <c r="K19" s="35"/>
      <c r="L19" s="31"/>
    </row>
    <row r="20" spans="3:12" outlineLevel="1" x14ac:dyDescent="0.45">
      <c r="C20" s="33" t="s">
        <v>10</v>
      </c>
      <c r="D20" s="61">
        <v>40</v>
      </c>
      <c r="E20" s="61">
        <v>40</v>
      </c>
      <c r="F20" s="34">
        <v>1394230.7692307695</v>
      </c>
      <c r="G20" s="30">
        <f>F20/$F$24</f>
        <v>0.14482065553494128</v>
      </c>
      <c r="I20" s="62">
        <f>G20*$E$15</f>
        <v>173.78478664192954</v>
      </c>
      <c r="J20" s="32">
        <v>0</v>
      </c>
      <c r="K20" s="35"/>
      <c r="L20" s="25"/>
    </row>
    <row r="21" spans="3:12" outlineLevel="1" x14ac:dyDescent="0.45">
      <c r="C21" s="33" t="s">
        <v>11</v>
      </c>
      <c r="D21" s="61">
        <v>200</v>
      </c>
      <c r="E21" s="61">
        <v>400</v>
      </c>
      <c r="F21" s="34">
        <v>3375803.762800666</v>
      </c>
      <c r="G21" s="30">
        <f>F21/$F$24</f>
        <v>0.35064935064935054</v>
      </c>
      <c r="I21" s="62">
        <f>G21*$E$15</f>
        <v>420.77922077922068</v>
      </c>
      <c r="J21" s="32">
        <v>1</v>
      </c>
      <c r="K21" s="36">
        <v>2</v>
      </c>
      <c r="L21" s="62">
        <f>IF(K21&gt;0,K21*E21,"")</f>
        <v>800</v>
      </c>
    </row>
    <row r="22" spans="3:12" outlineLevel="1" x14ac:dyDescent="0.45">
      <c r="C22" s="33" t="s">
        <v>47</v>
      </c>
      <c r="D22" s="2" t="s">
        <v>5</v>
      </c>
      <c r="E22" s="2" t="s">
        <v>5</v>
      </c>
      <c r="F22" s="34">
        <v>1203411.5265539412</v>
      </c>
      <c r="G22" s="30">
        <f>F22/$F$24</f>
        <v>0.12499999999999997</v>
      </c>
      <c r="H22" s="37">
        <v>105</v>
      </c>
      <c r="I22" s="62">
        <f>G22*$E$15</f>
        <v>149.99999999999997</v>
      </c>
      <c r="J22" s="32">
        <v>0</v>
      </c>
      <c r="K22" s="36"/>
      <c r="L22" s="62"/>
    </row>
    <row r="23" spans="3:12" outlineLevel="1" x14ac:dyDescent="0.45">
      <c r="C23" s="33" t="s">
        <v>12</v>
      </c>
      <c r="D23" s="2" t="s">
        <v>5</v>
      </c>
      <c r="E23" s="2" t="s">
        <v>5</v>
      </c>
      <c r="F23" s="39">
        <v>2307692.307692308</v>
      </c>
      <c r="G23" s="30">
        <f>F23/$F$24</f>
        <v>0.23970315398886829</v>
      </c>
      <c r="H23" s="40"/>
      <c r="I23" s="62">
        <f>G23*$E$15</f>
        <v>287.64378478664196</v>
      </c>
      <c r="J23" s="32">
        <v>0</v>
      </c>
      <c r="K23" s="41"/>
      <c r="L23" s="25"/>
    </row>
    <row r="24" spans="3:12" outlineLevel="1" x14ac:dyDescent="0.45">
      <c r="C24" s="42" t="s">
        <v>4</v>
      </c>
      <c r="D24" s="100">
        <f>SUM(D19:D23)</f>
        <v>255</v>
      </c>
      <c r="E24" s="100">
        <f>SUM(E19:E23)</f>
        <v>455</v>
      </c>
      <c r="F24" s="44">
        <f>SUM(F19:F23)</f>
        <v>9627292.2124315314</v>
      </c>
      <c r="G24" s="45">
        <f>SUM(G19:G23)</f>
        <v>1</v>
      </c>
      <c r="I24" s="100">
        <f>SUM(I19:I23)</f>
        <v>1200</v>
      </c>
      <c r="J24" s="46"/>
      <c r="L24" s="43"/>
    </row>
    <row r="25" spans="3:12" outlineLevel="1" x14ac:dyDescent="0.45">
      <c r="E25" s="59"/>
      <c r="G25" s="47"/>
    </row>
    <row r="26" spans="3:12" outlineLevel="1" x14ac:dyDescent="0.45">
      <c r="C26" s="28" t="s">
        <v>75</v>
      </c>
      <c r="D26" s="70" t="str">
        <f>$D$5</f>
        <v>Units:</v>
      </c>
      <c r="E26" s="28"/>
      <c r="F26" s="28"/>
      <c r="G26" s="28"/>
      <c r="H26" s="28"/>
      <c r="I26" s="28"/>
      <c r="J26" s="28"/>
      <c r="K26" s="28"/>
      <c r="L26" s="28"/>
    </row>
    <row r="27" spans="3:12" outlineLevel="1" x14ac:dyDescent="0.45">
      <c r="C27" s="33" t="s">
        <v>24</v>
      </c>
      <c r="D27" s="24" t="s">
        <v>2</v>
      </c>
      <c r="E27" s="32">
        <v>0</v>
      </c>
      <c r="F27" s="32">
        <v>0</v>
      </c>
      <c r="G27" s="32">
        <v>0</v>
      </c>
      <c r="H27" s="32">
        <v>0</v>
      </c>
      <c r="I27" s="32">
        <v>1</v>
      </c>
      <c r="J27" s="32">
        <v>1</v>
      </c>
      <c r="K27" s="32">
        <v>1</v>
      </c>
      <c r="L27" s="32">
        <v>1</v>
      </c>
    </row>
    <row r="28" spans="3:12" outlineLevel="1" x14ac:dyDescent="0.45">
      <c r="C28" s="33" t="s">
        <v>25</v>
      </c>
      <c r="D28" s="24" t="s">
        <v>2</v>
      </c>
      <c r="E28" s="32">
        <v>0</v>
      </c>
      <c r="F28" s="32">
        <v>0</v>
      </c>
      <c r="G28" s="32">
        <v>1</v>
      </c>
      <c r="H28" s="32">
        <v>1</v>
      </c>
      <c r="I28" s="32">
        <v>0</v>
      </c>
      <c r="J28" s="32">
        <v>0</v>
      </c>
      <c r="K28" s="32">
        <v>1</v>
      </c>
      <c r="L28" s="32">
        <v>1</v>
      </c>
    </row>
    <row r="29" spans="3:12" outlineLevel="1" x14ac:dyDescent="0.45">
      <c r="C29" s="33" t="s">
        <v>48</v>
      </c>
      <c r="D29" s="24" t="s">
        <v>2</v>
      </c>
      <c r="E29" s="32">
        <v>0</v>
      </c>
      <c r="F29" s="32">
        <v>1</v>
      </c>
      <c r="G29" s="32">
        <v>0</v>
      </c>
      <c r="H29" s="32">
        <v>1</v>
      </c>
      <c r="I29" s="32">
        <v>0</v>
      </c>
      <c r="J29" s="32">
        <v>1</v>
      </c>
      <c r="K29" s="32">
        <v>0</v>
      </c>
      <c r="L29" s="32">
        <v>1</v>
      </c>
    </row>
    <row r="30" spans="3:12" outlineLevel="1" x14ac:dyDescent="0.45">
      <c r="G30" s="47"/>
    </row>
    <row r="31" spans="3:12" outlineLevel="1" x14ac:dyDescent="0.45">
      <c r="C31" s="48" t="s">
        <v>26</v>
      </c>
      <c r="D31" s="24" t="s">
        <v>1</v>
      </c>
      <c r="E31" s="65">
        <f>$E$15</f>
        <v>1200</v>
      </c>
      <c r="F31" s="65">
        <f>$E$15</f>
        <v>1200</v>
      </c>
      <c r="G31" s="65">
        <f>$E$15</f>
        <v>1200</v>
      </c>
      <c r="H31" s="65">
        <f>$E$15</f>
        <v>1200</v>
      </c>
      <c r="I31" s="65">
        <f>$E$15</f>
        <v>1200</v>
      </c>
      <c r="J31" s="65">
        <f>$E$15</f>
        <v>1200</v>
      </c>
      <c r="K31" s="65">
        <f>$E$15</f>
        <v>1200</v>
      </c>
      <c r="L31" s="65">
        <f>$E$15</f>
        <v>1200</v>
      </c>
    </row>
    <row r="32" spans="3:12" outlineLevel="1" x14ac:dyDescent="0.45">
      <c r="C32" s="33" t="s">
        <v>27</v>
      </c>
      <c r="D32" s="24" t="s">
        <v>1</v>
      </c>
      <c r="E32" s="62">
        <f ca="1">E53*$H22/Units</f>
        <v>126.35821028816383</v>
      </c>
      <c r="F32" s="62">
        <f ca="1">F53*$H22/Units</f>
        <v>126.35821028816383</v>
      </c>
      <c r="G32" s="62">
        <f ca="1">G53*$H22/Units</f>
        <v>126.35821028816383</v>
      </c>
      <c r="H32" s="62">
        <f ca="1">H53*$H22/Units</f>
        <v>0</v>
      </c>
      <c r="I32" s="62">
        <f ca="1">I53*$H22/Units</f>
        <v>126.35821028816383</v>
      </c>
      <c r="J32" s="62">
        <f ca="1">J53*$H22/Units</f>
        <v>126.35821028816383</v>
      </c>
      <c r="K32" s="62">
        <f ca="1">K53*$H22/Units</f>
        <v>126.35821028816383</v>
      </c>
      <c r="L32" s="62">
        <f ca="1">L53*$H22/Units</f>
        <v>126.35821028816383</v>
      </c>
    </row>
    <row r="33" spans="3:12" outlineLevel="1" x14ac:dyDescent="0.45">
      <c r="C33" s="49" t="s">
        <v>28</v>
      </c>
      <c r="D33" s="50" t="s">
        <v>1</v>
      </c>
      <c r="E33" s="63">
        <f ca="1">SUM(E31:E32)</f>
        <v>1326.3582102881637</v>
      </c>
      <c r="F33" s="63">
        <f t="shared" ref="F33:H33" ca="1" si="0">SUM(F31:F32)</f>
        <v>1326.3582102881637</v>
      </c>
      <c r="G33" s="63">
        <f t="shared" ca="1" si="0"/>
        <v>1326.3582102881637</v>
      </c>
      <c r="H33" s="63">
        <f t="shared" ca="1" si="0"/>
        <v>1200</v>
      </c>
      <c r="I33" s="63">
        <f ca="1">SUM(I31:I32)</f>
        <v>1326.3582102881637</v>
      </c>
      <c r="J33" s="63">
        <f ca="1">SUM(J31:J32)</f>
        <v>1326.3582102881637</v>
      </c>
      <c r="K33" s="63">
        <f ca="1">SUM(K31:K32)</f>
        <v>1326.3582102881637</v>
      </c>
      <c r="L33" s="63">
        <f ca="1">SUM(L31:L32)</f>
        <v>1326.3582102881637</v>
      </c>
    </row>
    <row r="34" spans="3:12" outlineLevel="1" x14ac:dyDescent="0.45">
      <c r="C34" s="33" t="s">
        <v>30</v>
      </c>
      <c r="D34" s="38" t="s">
        <v>1</v>
      </c>
      <c r="E34" s="62">
        <f ca="1">-IF(E$27=0,MIN(E33,$E$21))</f>
        <v>-400</v>
      </c>
      <c r="F34" s="62">
        <f ca="1">-IF(F$27=0,MIN(F33,$E$21))</f>
        <v>-400</v>
      </c>
      <c r="G34" s="62">
        <f ca="1">-IF(G$27=0,MIN(G33,$E$21))</f>
        <v>-400</v>
      </c>
      <c r="H34" s="62">
        <f ca="1">-IF(H$27=0,MIN(H33,$E$21))</f>
        <v>-400</v>
      </c>
      <c r="I34" s="62">
        <f>-IF(I$27=0,MIN(I33,$E$21))</f>
        <v>0</v>
      </c>
      <c r="J34" s="62">
        <f>-IF(J$27=0,MIN(J33,$E$21))</f>
        <v>0</v>
      </c>
      <c r="K34" s="62">
        <f>-IF(K$27=0,MIN(K33,$E$21))</f>
        <v>0</v>
      </c>
      <c r="L34" s="62">
        <f>-IF(L$27=0,MIN(L33,$E$21))</f>
        <v>0</v>
      </c>
    </row>
    <row r="35" spans="3:12" outlineLevel="1" x14ac:dyDescent="0.45">
      <c r="C35" s="49" t="s">
        <v>29</v>
      </c>
      <c r="D35" s="24" t="s">
        <v>1</v>
      </c>
      <c r="E35" s="63">
        <f ca="1">SUM(E33:E34)</f>
        <v>926.35821028816372</v>
      </c>
      <c r="F35" s="63">
        <f t="shared" ref="F35:H35" ca="1" si="1">SUM(F33:F34)</f>
        <v>926.35821028816372</v>
      </c>
      <c r="G35" s="63">
        <f t="shared" ca="1" si="1"/>
        <v>926.35821028816372</v>
      </c>
      <c r="H35" s="63">
        <f t="shared" ca="1" si="1"/>
        <v>800</v>
      </c>
      <c r="I35" s="63">
        <f ca="1">SUM(I33:I34)</f>
        <v>1326.3582102881637</v>
      </c>
      <c r="J35" s="63">
        <f ca="1">SUM(J33:J34)</f>
        <v>1326.3582102881637</v>
      </c>
      <c r="K35" s="63">
        <f ca="1">SUM(K33:K34)</f>
        <v>1326.3582102881637</v>
      </c>
      <c r="L35" s="63">
        <f ca="1">SUM(L33:L34)</f>
        <v>1326.3582102881637</v>
      </c>
    </row>
    <row r="36" spans="3:12" outlineLevel="1" x14ac:dyDescent="0.45">
      <c r="C36" s="33" t="s">
        <v>31</v>
      </c>
      <c r="D36" s="38" t="s">
        <v>1</v>
      </c>
      <c r="E36" s="62">
        <f ca="1">-IF(E$28=0,MIN(E35,$E$20),0)</f>
        <v>-40</v>
      </c>
      <c r="F36" s="62">
        <f ca="1">-IF(F$28=0,MIN(F35,$E$20),0)</f>
        <v>-40</v>
      </c>
      <c r="G36" s="62">
        <f>-IF(G$28=0,MIN(G35,$E$20),0)</f>
        <v>0</v>
      </c>
      <c r="H36" s="62">
        <f>-IF(H$28=0,MIN(H35,$E$20),0)</f>
        <v>0</v>
      </c>
      <c r="I36" s="62">
        <f ca="1">-IF(I$28=0,MIN(I35,$E$20),0)</f>
        <v>-40</v>
      </c>
      <c r="J36" s="62">
        <f ca="1">-IF(J$28=0,MIN(J35,$E$20),0)</f>
        <v>-40</v>
      </c>
      <c r="K36" s="62">
        <f>-IF(K$28=0,MIN(K35,$E$20),0)</f>
        <v>0</v>
      </c>
      <c r="L36" s="62">
        <f>-IF(L$28=0,MIN(L35,$E$20),0)</f>
        <v>0</v>
      </c>
    </row>
    <row r="37" spans="3:12" outlineLevel="1" x14ac:dyDescent="0.45">
      <c r="C37" s="49" t="s">
        <v>29</v>
      </c>
      <c r="D37" s="24" t="s">
        <v>1</v>
      </c>
      <c r="E37" s="63">
        <f ca="1">SUM(E35:E36)</f>
        <v>886.35821028816372</v>
      </c>
      <c r="F37" s="63">
        <f t="shared" ref="F37:H37" ca="1" si="2">SUM(F35:F36)</f>
        <v>886.35821028816372</v>
      </c>
      <c r="G37" s="63">
        <f t="shared" ca="1" si="2"/>
        <v>926.35821028816372</v>
      </c>
      <c r="H37" s="63">
        <f t="shared" ca="1" si="2"/>
        <v>800</v>
      </c>
      <c r="I37" s="63">
        <f ca="1">SUM(I35:I36)</f>
        <v>1286.3582102881637</v>
      </c>
      <c r="J37" s="63">
        <f ca="1">SUM(J35:J36)</f>
        <v>1286.3582102881637</v>
      </c>
      <c r="K37" s="63">
        <f ca="1">SUM(K35:K36)</f>
        <v>1326.3582102881637</v>
      </c>
      <c r="L37" s="63">
        <f ca="1">SUM(L35:L36)</f>
        <v>1326.3582102881637</v>
      </c>
    </row>
    <row r="38" spans="3:12" outlineLevel="1" x14ac:dyDescent="0.45">
      <c r="C38" s="33" t="s">
        <v>60</v>
      </c>
      <c r="D38" s="38" t="s">
        <v>1</v>
      </c>
      <c r="E38" s="62">
        <f ca="1">-IF(E29=0,MIN(E$37,$E$19),0)</f>
        <v>-15</v>
      </c>
      <c r="F38" s="62">
        <f t="shared" ref="F38:L38" si="3">-IF(F29=0,MIN(F$37,$E$19),0)</f>
        <v>0</v>
      </c>
      <c r="G38" s="62">
        <f t="shared" ca="1" si="3"/>
        <v>-15</v>
      </c>
      <c r="H38" s="62">
        <f t="shared" si="3"/>
        <v>0</v>
      </c>
      <c r="I38" s="62">
        <f t="shared" ca="1" si="3"/>
        <v>-15</v>
      </c>
      <c r="J38" s="62">
        <f t="shared" si="3"/>
        <v>0</v>
      </c>
      <c r="K38" s="62">
        <f t="shared" ca="1" si="3"/>
        <v>-15</v>
      </c>
      <c r="L38" s="62">
        <f t="shared" si="3"/>
        <v>0</v>
      </c>
    </row>
    <row r="39" spans="3:12" outlineLevel="1" x14ac:dyDescent="0.45">
      <c r="C39" s="49" t="s">
        <v>29</v>
      </c>
      <c r="D39" s="24" t="s">
        <v>1</v>
      </c>
      <c r="E39" s="63">
        <f ca="1">SUM(E37:E38)</f>
        <v>871.35821028816372</v>
      </c>
      <c r="F39" s="63">
        <f t="shared" ref="F39:H39" ca="1" si="4">SUM(F37:F38)</f>
        <v>886.35821028816372</v>
      </c>
      <c r="G39" s="63">
        <f t="shared" ca="1" si="4"/>
        <v>911.35821028816372</v>
      </c>
      <c r="H39" s="63">
        <f t="shared" ca="1" si="4"/>
        <v>800</v>
      </c>
      <c r="I39" s="63">
        <f ca="1">SUM(I37:I38)</f>
        <v>1271.3582102881637</v>
      </c>
      <c r="J39" s="63">
        <f ca="1">SUM(J37:J38)</f>
        <v>1286.3582102881637</v>
      </c>
      <c r="K39" s="63">
        <f ca="1">SUM(K37:K38)</f>
        <v>1311.3582102881637</v>
      </c>
      <c r="L39" s="63">
        <f ca="1">SUM(L37:L38)</f>
        <v>1326.3582102881637</v>
      </c>
    </row>
    <row r="40" spans="3:12" outlineLevel="1" x14ac:dyDescent="0.45">
      <c r="C40" s="33" t="s">
        <v>49</v>
      </c>
      <c r="D40" s="38" t="s">
        <v>1</v>
      </c>
      <c r="E40" s="62">
        <f ca="1">-IF(AND(E27=0,$J$21=1),IF(ISNUMBER($L$21),MIN($L$21+E34,$G$21*E$39),$G$21*E$39),0)</f>
        <v>-305.54119062052484</v>
      </c>
      <c r="F40" s="62">
        <f ca="1">-IF(AND(F27=0,$J$21=1),IF(ISNUMBER($L$21),MIN($L$21+F34,$G$21*F$39),$G$21*F$39),0)</f>
        <v>-310.80093088026513</v>
      </c>
      <c r="G40" s="62">
        <f ca="1">-IF(AND(G27=0,$J$21=1),IF(ISNUMBER($L$21),MIN($L$21+G34,$G$21*G$39),$G$21*G$39),0)</f>
        <v>-319.5671646464989</v>
      </c>
      <c r="H40" s="62">
        <f ca="1">-IF(AND(H27=0,$J$21=1),IF(ISNUMBER($L$21),MIN($L$21+H34,$G$21*H$39),$G$21*H$39),0)</f>
        <v>-280.51948051948045</v>
      </c>
      <c r="I40" s="62">
        <f>-IF(AND(I27=0,$J$21=1),IF(ISNUMBER($L$21),MIN($L$21+I34,$G$21*I$39),$G$21*I$39),0)</f>
        <v>0</v>
      </c>
      <c r="J40" s="62">
        <f>-IF(AND(J27=0,$J$21=1),IF(ISNUMBER($L$21),MIN($L$21+J34,$G$21*J$39),$G$21*J$39),0)</f>
        <v>0</v>
      </c>
      <c r="K40" s="62">
        <f>-IF(AND(K27=0,$J$21=1),IF(ISNUMBER($L$21),MIN($L$21+K34,$G$21*K$39),$G$21*K$39),0)</f>
        <v>0</v>
      </c>
      <c r="L40" s="62">
        <f>-IF(AND(L27=0,$J$21=1),IF(ISNUMBER($L$21),MIN($L$21+L34,$G$21*L$39),$G$21*L$39),0)</f>
        <v>0</v>
      </c>
    </row>
    <row r="41" spans="3:12" outlineLevel="1" x14ac:dyDescent="0.45">
      <c r="C41" s="49" t="s">
        <v>29</v>
      </c>
      <c r="D41" s="24" t="s">
        <v>1</v>
      </c>
      <c r="E41" s="63">
        <f ca="1">SUM(E39:E40)</f>
        <v>565.81701966763887</v>
      </c>
      <c r="F41" s="63">
        <f t="shared" ref="F41:H41" ca="1" si="5">SUM(F39:F40)</f>
        <v>575.55727940789859</v>
      </c>
      <c r="G41" s="63">
        <f t="shared" ca="1" si="5"/>
        <v>591.79104564166482</v>
      </c>
      <c r="H41" s="63">
        <f t="shared" ca="1" si="5"/>
        <v>519.48051948051955</v>
      </c>
      <c r="I41" s="63">
        <f ca="1">SUM(I39:I40)</f>
        <v>1271.3582102881637</v>
      </c>
      <c r="J41" s="63">
        <f ca="1">SUM(J39:J40)</f>
        <v>1286.3582102881637</v>
      </c>
      <c r="K41" s="63">
        <f ca="1">SUM(K39:K40)</f>
        <v>1311.3582102881637</v>
      </c>
      <c r="L41" s="63">
        <f ca="1">SUM(L39:L40)</f>
        <v>1326.3582102881637</v>
      </c>
    </row>
    <row r="42" spans="3:12" outlineLevel="1" x14ac:dyDescent="0.45">
      <c r="C42" s="33" t="s">
        <v>32</v>
      </c>
      <c r="D42" s="24" t="s">
        <v>1</v>
      </c>
      <c r="E42" s="62">
        <f ca="1">-E50/E$55*E$41</f>
        <v>0</v>
      </c>
      <c r="F42" s="62">
        <f ca="1">-F50/F$55*F$41</f>
        <v>0</v>
      </c>
      <c r="G42" s="62">
        <f ca="1">-G50/G$55*G$41</f>
        <v>0</v>
      </c>
      <c r="H42" s="62">
        <f ca="1">-H50/H$55*H$41</f>
        <v>0</v>
      </c>
      <c r="I42" s="62">
        <f ca="1">-I50/I$55*I$41</f>
        <v>-623.19056407822836</v>
      </c>
      <c r="J42" s="62">
        <f ca="1">-J50/J$55*J$41</f>
        <v>-527.44570371043972</v>
      </c>
      <c r="K42" s="62">
        <f ca="1">-K50/K$55*K$41</f>
        <v>-534.57481144107317</v>
      </c>
      <c r="L42" s="62">
        <f ca="1">-L50/L$55*L$41</f>
        <v>-465.08664516597935</v>
      </c>
    </row>
    <row r="43" spans="3:12" outlineLevel="1" x14ac:dyDescent="0.45">
      <c r="C43" s="33" t="s">
        <v>33</v>
      </c>
      <c r="D43" s="24" t="s">
        <v>1</v>
      </c>
      <c r="E43" s="62">
        <f ca="1">-E51/E$55*E$41</f>
        <v>0</v>
      </c>
      <c r="F43" s="62">
        <f ca="1">-F51/F$55*F$41</f>
        <v>0</v>
      </c>
      <c r="G43" s="62">
        <f ca="1">-G51/G$55*G$41</f>
        <v>-168.20326266917937</v>
      </c>
      <c r="H43" s="62">
        <f ca="1">-H51/H$55*H$41</f>
        <v>-143.47557204700064</v>
      </c>
      <c r="I43" s="62">
        <f ca="1">-I51/I$55*I$41</f>
        <v>0</v>
      </c>
      <c r="J43" s="62">
        <f ca="1">-J51/J$55*J$41</f>
        <v>0</v>
      </c>
      <c r="K43" s="62">
        <f ca="1">-K51/K$55*K$41</f>
        <v>-220.78316837603768</v>
      </c>
      <c r="L43" s="62">
        <f ca="1">-L51/L$55*L$41</f>
        <v>-192.08406548808335</v>
      </c>
    </row>
    <row r="44" spans="3:12" outlineLevel="1" x14ac:dyDescent="0.45">
      <c r="C44" s="33" t="s">
        <v>61</v>
      </c>
      <c r="D44" s="24" t="s">
        <v>1</v>
      </c>
      <c r="E44" s="62">
        <f ca="1">-E52/E$55*E$41</f>
        <v>0</v>
      </c>
      <c r="F44" s="62">
        <f ca="1">-F52/F$55*F$41</f>
        <v>-159.51153847225305</v>
      </c>
      <c r="G44" s="62">
        <f ca="1">-G52/G$55*G$41</f>
        <v>0</v>
      </c>
      <c r="H44" s="62">
        <f ca="1">-H52/H$55*H$41</f>
        <v>-138.52813852813853</v>
      </c>
      <c r="I44" s="62">
        <f ca="1">-I52/I$55*I$41</f>
        <v>0</v>
      </c>
      <c r="J44" s="62">
        <f ca="1">-J52/J$55*J$41</f>
        <v>-210.32711394873093</v>
      </c>
      <c r="K44" s="62">
        <f ca="1">-K52/K$55*K$41</f>
        <v>0</v>
      </c>
      <c r="L44" s="62">
        <f ca="1">-L52/L$55*L$41</f>
        <v>-185.46047702297696</v>
      </c>
    </row>
    <row r="45" spans="3:12" outlineLevel="1" x14ac:dyDescent="0.45">
      <c r="C45" s="33" t="s">
        <v>50</v>
      </c>
      <c r="D45" s="24" t="s">
        <v>1</v>
      </c>
      <c r="E45" s="62">
        <f ca="1">-E53/E$55*E$41</f>
        <v>-193.93067124561702</v>
      </c>
      <c r="F45" s="62">
        <f ca="1">-F53/F$55*F$41</f>
        <v>-142.59738926892592</v>
      </c>
      <c r="G45" s="62">
        <f ca="1">-G53/G$55*G$41</f>
        <v>-145.18238269246444</v>
      </c>
      <c r="H45" s="62">
        <f ca="1">-H53/H$55*H$41</f>
        <v>0</v>
      </c>
      <c r="I45" s="62">
        <f ca="1">-I53/I$55*I$41</f>
        <v>-222.15589552788697</v>
      </c>
      <c r="J45" s="62">
        <f ca="1">-J53/J$55*J$41</f>
        <v>-188.0246258597401</v>
      </c>
      <c r="K45" s="62">
        <f ca="1">-K53/K$55*K$41</f>
        <v>-190.56602074519742</v>
      </c>
      <c r="L45" s="62">
        <f ca="1">-L53/L$55*L$41</f>
        <v>-165.79477628602044</v>
      </c>
    </row>
    <row r="46" spans="3:12" outlineLevel="1" x14ac:dyDescent="0.45">
      <c r="C46" s="33" t="s">
        <v>34</v>
      </c>
      <c r="D46" s="38" t="s">
        <v>1</v>
      </c>
      <c r="E46" s="62">
        <f ca="1">-E54/E$55*E$41</f>
        <v>-371.88634842202191</v>
      </c>
      <c r="F46" s="62">
        <f ca="1">-F54/F$55*F$41</f>
        <v>-273.44835166671965</v>
      </c>
      <c r="G46" s="62">
        <f ca="1">-G54/G$55*G$41</f>
        <v>-278.40540028002101</v>
      </c>
      <c r="H46" s="62">
        <f ca="1">-H54/H$55*H$41</f>
        <v>-237.47680890538035</v>
      </c>
      <c r="I46" s="62">
        <f ca="1">-I54/I$55*I$41</f>
        <v>-426.01175068204833</v>
      </c>
      <c r="J46" s="62">
        <f ca="1">-J54/J$55*J$41</f>
        <v>-360.56076676925312</v>
      </c>
      <c r="K46" s="62">
        <f ca="1">-K54/K$55*K$41</f>
        <v>-365.43420972585545</v>
      </c>
      <c r="L46" s="62">
        <f ca="1">-L54/L$55*L$41</f>
        <v>-317.93224632510345</v>
      </c>
    </row>
    <row r="47" spans="3:12" outlineLevel="1" x14ac:dyDescent="0.45">
      <c r="C47" s="49" t="s">
        <v>35</v>
      </c>
      <c r="D47" s="24" t="s">
        <v>1</v>
      </c>
      <c r="E47" s="100">
        <f ca="1">SUM(E41:E46)</f>
        <v>0</v>
      </c>
      <c r="F47" s="100">
        <f t="shared" ref="F47:H47" ca="1" si="6">SUM(F41:F46)</f>
        <v>0</v>
      </c>
      <c r="G47" s="100">
        <f t="shared" ca="1" si="6"/>
        <v>0</v>
      </c>
      <c r="H47" s="100">
        <f t="shared" ca="1" si="6"/>
        <v>0</v>
      </c>
      <c r="I47" s="100">
        <f ca="1">SUM(I41:I46)</f>
        <v>0</v>
      </c>
      <c r="J47" s="100">
        <f ca="1">SUM(J41:J46)</f>
        <v>0</v>
      </c>
      <c r="K47" s="100">
        <f ca="1">SUM(K41:K46)</f>
        <v>0</v>
      </c>
      <c r="L47" s="100">
        <f ca="1">SUM(L41:L46)</f>
        <v>0</v>
      </c>
    </row>
    <row r="48" spans="3:12" outlineLevel="1" x14ac:dyDescent="0.45">
      <c r="C48" s="33"/>
      <c r="D48" s="24"/>
      <c r="E48" s="25"/>
      <c r="F48" s="25"/>
      <c r="G48" s="25"/>
      <c r="H48" s="25"/>
      <c r="I48" s="25"/>
      <c r="J48" s="25"/>
      <c r="K48" s="25"/>
      <c r="L48" s="25"/>
    </row>
    <row r="49" spans="3:12" outlineLevel="1" x14ac:dyDescent="0.45">
      <c r="C49" s="51" t="s">
        <v>36</v>
      </c>
      <c r="D49" s="70" t="str">
        <f>$D$5</f>
        <v>Units:</v>
      </c>
      <c r="E49" s="52"/>
      <c r="F49" s="52"/>
      <c r="G49" s="52"/>
      <c r="H49" s="52"/>
      <c r="I49" s="52"/>
      <c r="J49" s="52"/>
      <c r="K49" s="52"/>
      <c r="L49" s="52"/>
    </row>
    <row r="50" spans="3:12" outlineLevel="1" x14ac:dyDescent="0.45">
      <c r="C50" s="33" t="s">
        <v>37</v>
      </c>
      <c r="D50" s="24" t="s">
        <v>62</v>
      </c>
      <c r="E50" s="25">
        <f>E27*$F$21</f>
        <v>0</v>
      </c>
      <c r="F50" s="25">
        <f>F27*$F$21</f>
        <v>0</v>
      </c>
      <c r="G50" s="25">
        <f>G27*$F$21</f>
        <v>0</v>
      </c>
      <c r="H50" s="25">
        <f>H27*$F$21</f>
        <v>0</v>
      </c>
      <c r="I50" s="25">
        <f>I27*$F$21</f>
        <v>3375803.762800666</v>
      </c>
      <c r="J50" s="25">
        <f>J27*$F$21</f>
        <v>3375803.762800666</v>
      </c>
      <c r="K50" s="25">
        <f>K27*$F$21</f>
        <v>3375803.762800666</v>
      </c>
      <c r="L50" s="25">
        <f>L27*$F$21</f>
        <v>3375803.762800666</v>
      </c>
    </row>
    <row r="51" spans="3:12" outlineLevel="1" x14ac:dyDescent="0.45">
      <c r="C51" s="33" t="s">
        <v>38</v>
      </c>
      <c r="D51" s="24" t="s">
        <v>62</v>
      </c>
      <c r="E51" s="25">
        <f>E28*$F$20</f>
        <v>0</v>
      </c>
      <c r="F51" s="25">
        <f>F28*$F$20</f>
        <v>0</v>
      </c>
      <c r="G51" s="25">
        <f>G28*$F$20</f>
        <v>1394230.7692307695</v>
      </c>
      <c r="H51" s="25">
        <f>H28*$F$20</f>
        <v>1394230.7692307695</v>
      </c>
      <c r="I51" s="25">
        <f>I28*$F$20</f>
        <v>0</v>
      </c>
      <c r="J51" s="25">
        <f>J28*$F$20</f>
        <v>0</v>
      </c>
      <c r="K51" s="25">
        <f>K28*$F$20</f>
        <v>1394230.7692307695</v>
      </c>
      <c r="L51" s="25">
        <f>L28*$F$20</f>
        <v>1394230.7692307695</v>
      </c>
    </row>
    <row r="52" spans="3:12" outlineLevel="1" x14ac:dyDescent="0.45">
      <c r="C52" s="33" t="s">
        <v>63</v>
      </c>
      <c r="D52" s="24" t="s">
        <v>62</v>
      </c>
      <c r="E52" s="25">
        <f>E29*$F$19</f>
        <v>0</v>
      </c>
      <c r="F52" s="25">
        <f>F29*$F$19</f>
        <v>1346153.846153846</v>
      </c>
      <c r="G52" s="25">
        <f>G29*$F$19</f>
        <v>0</v>
      </c>
      <c r="H52" s="25">
        <f>H29*$F$19</f>
        <v>1346153.846153846</v>
      </c>
      <c r="I52" s="25">
        <f>I29*$F$19</f>
        <v>0</v>
      </c>
      <c r="J52" s="25">
        <f>J29*$F$19</f>
        <v>1346153.846153846</v>
      </c>
      <c r="K52" s="25">
        <f>K29*$F$19</f>
        <v>0</v>
      </c>
      <c r="L52" s="25">
        <f>L29*$F$19</f>
        <v>1346153.846153846</v>
      </c>
    </row>
    <row r="53" spans="3:12" outlineLevel="1" x14ac:dyDescent="0.45">
      <c r="C53" s="33" t="s">
        <v>51</v>
      </c>
      <c r="D53" s="24" t="s">
        <v>62</v>
      </c>
      <c r="E53" s="25">
        <f ca="1">IF(Circ_Ref,IF(E$57&gt;$H22,$F22,0),$F22)</f>
        <v>1203411.5265539412</v>
      </c>
      <c r="F53" s="25">
        <f ca="1">IF(Circ_Ref,IF(F$57&gt;$H22,$F22,0),$F22)</f>
        <v>1203411.5265539412</v>
      </c>
      <c r="G53" s="25">
        <f ca="1">IF(Circ_Ref,IF(G$57&gt;$H22,$F22,0),$F22)</f>
        <v>1203411.5265539412</v>
      </c>
      <c r="H53" s="25">
        <f ca="1">IF(Circ_Ref,IF(H$57&gt;$H22,$F22,0),$F22)</f>
        <v>1203411.5265539412</v>
      </c>
      <c r="I53" s="25">
        <f ca="1">IF(Circ_Ref,IF(I$57&gt;$H22,$F22,0),$F22)</f>
        <v>1203411.5265539412</v>
      </c>
      <c r="J53" s="25">
        <f ca="1">IF(Circ_Ref,IF(J$57&gt;$H22,$F22,0),$F22)</f>
        <v>1203411.5265539412</v>
      </c>
      <c r="K53" s="25">
        <f ca="1">IF(Circ_Ref,IF(K$57&gt;$H22,$F22,0),$F22)</f>
        <v>1203411.5265539412</v>
      </c>
      <c r="L53" s="25">
        <f ca="1">IF(Circ_Ref,IF(L$57&gt;$H22,$F22,0),$F22)</f>
        <v>1203411.5265539412</v>
      </c>
    </row>
    <row r="54" spans="3:12" outlineLevel="1" x14ac:dyDescent="0.45">
      <c r="C54" s="33" t="s">
        <v>12</v>
      </c>
      <c r="D54" s="38" t="s">
        <v>62</v>
      </c>
      <c r="E54" s="25">
        <f>$F$23</f>
        <v>2307692.307692308</v>
      </c>
      <c r="F54" s="25">
        <f>$F$23</f>
        <v>2307692.307692308</v>
      </c>
      <c r="G54" s="25">
        <f>$F$23</f>
        <v>2307692.307692308</v>
      </c>
      <c r="H54" s="25">
        <f>$F$23</f>
        <v>2307692.307692308</v>
      </c>
      <c r="I54" s="25">
        <f>$F$23</f>
        <v>2307692.307692308</v>
      </c>
      <c r="J54" s="25">
        <f>$F$23</f>
        <v>2307692.307692308</v>
      </c>
      <c r="K54" s="25">
        <f>$F$23</f>
        <v>2307692.307692308</v>
      </c>
      <c r="L54" s="25">
        <f>$F$23</f>
        <v>2307692.307692308</v>
      </c>
    </row>
    <row r="55" spans="3:12" outlineLevel="1" x14ac:dyDescent="0.45">
      <c r="C55" s="49" t="s">
        <v>4</v>
      </c>
      <c r="D55" s="24" t="s">
        <v>62</v>
      </c>
      <c r="E55" s="43">
        <f ca="1">SUM(E50:E54)</f>
        <v>3511103.8342462489</v>
      </c>
      <c r="F55" s="43">
        <f t="shared" ref="F55:H55" ca="1" si="7">SUM(F50:F54)</f>
        <v>4857257.6804000949</v>
      </c>
      <c r="G55" s="43">
        <f t="shared" ca="1" si="7"/>
        <v>4905334.6034770189</v>
      </c>
      <c r="H55" s="43">
        <f t="shared" ca="1" si="7"/>
        <v>6251488.4496308649</v>
      </c>
      <c r="I55" s="43">
        <f ca="1">SUM(I50:I54)</f>
        <v>6886907.5970469154</v>
      </c>
      <c r="J55" s="43">
        <f ca="1">SUM(J50:J54)</f>
        <v>8233061.4432007605</v>
      </c>
      <c r="K55" s="43">
        <f ca="1">SUM(K50:K54)</f>
        <v>8281138.3662776845</v>
      </c>
      <c r="L55" s="43">
        <f ca="1">SUM(L50:L54)</f>
        <v>9627292.2124315314</v>
      </c>
    </row>
    <row r="56" spans="3:12" outlineLevel="1" x14ac:dyDescent="0.45"/>
    <row r="57" spans="3:12" outlineLevel="1" x14ac:dyDescent="0.45">
      <c r="C57" s="20" t="s">
        <v>39</v>
      </c>
      <c r="D57" s="24" t="s">
        <v>71</v>
      </c>
      <c r="E57" s="3">
        <f ca="1">E41*Units/E55</f>
        <v>161.15075098287613</v>
      </c>
      <c r="F57" s="3">
        <f ca="1">F41*Units/F55</f>
        <v>118.49428572224515</v>
      </c>
      <c r="G57" s="3">
        <f ca="1">G41*Units/G55</f>
        <v>120.64234012134241</v>
      </c>
      <c r="H57" s="3">
        <f ca="1">H41*Units/H55</f>
        <v>83.097093382807671</v>
      </c>
      <c r="I57" s="3">
        <f ca="1">I41*Units/I55</f>
        <v>184.60509196222091</v>
      </c>
      <c r="J57" s="3">
        <f ca="1">J41*Units/J55</f>
        <v>156.24299893334299</v>
      </c>
      <c r="K57" s="3">
        <f ca="1">K41*Units/K55</f>
        <v>158.35482421453733</v>
      </c>
      <c r="L57" s="3">
        <f ca="1">L41*Units/L55</f>
        <v>137.77064007421149</v>
      </c>
    </row>
    <row r="58" spans="3:12" outlineLevel="1" x14ac:dyDescent="0.45"/>
    <row r="59" spans="3:12" outlineLevel="1" x14ac:dyDescent="0.45">
      <c r="C59" s="51" t="s">
        <v>40</v>
      </c>
      <c r="D59" s="70" t="str">
        <f>$D$5</f>
        <v>Units:</v>
      </c>
      <c r="E59" s="29"/>
      <c r="F59" s="29"/>
      <c r="G59" s="29"/>
      <c r="H59" s="29"/>
      <c r="I59" s="29"/>
      <c r="J59" s="29"/>
      <c r="K59" s="29"/>
      <c r="L59" s="29"/>
    </row>
    <row r="60" spans="3:12" outlineLevel="1" x14ac:dyDescent="0.45">
      <c r="C60" s="33" t="s">
        <v>46</v>
      </c>
      <c r="D60" s="24" t="s">
        <v>1</v>
      </c>
      <c r="E60" s="69">
        <f ca="1">-E38-E44</f>
        <v>15</v>
      </c>
      <c r="F60" s="69">
        <f ca="1">-F38-F44</f>
        <v>159.51153847225305</v>
      </c>
      <c r="G60" s="69">
        <f ca="1">-G38-G44</f>
        <v>15</v>
      </c>
      <c r="H60" s="69">
        <f ca="1">-H38-H44</f>
        <v>138.52813852813853</v>
      </c>
      <c r="I60" s="69">
        <f ca="1">-I38-I44</f>
        <v>15</v>
      </c>
      <c r="J60" s="69">
        <f ca="1">-J38-J44</f>
        <v>210.32711394873093</v>
      </c>
      <c r="K60" s="69">
        <f ca="1">-K38-K44</f>
        <v>15</v>
      </c>
      <c r="L60" s="69">
        <f ca="1">-L38-L44</f>
        <v>185.46047702297696</v>
      </c>
    </row>
    <row r="61" spans="3:12" outlineLevel="1" x14ac:dyDescent="0.45">
      <c r="C61" s="33" t="s">
        <v>10</v>
      </c>
      <c r="D61" s="24" t="s">
        <v>1</v>
      </c>
      <c r="E61" s="62">
        <f ca="1">-E36-E43</f>
        <v>40</v>
      </c>
      <c r="F61" s="62">
        <f ca="1">-F36-F43</f>
        <v>40</v>
      </c>
      <c r="G61" s="62">
        <f ca="1">-G36-G43</f>
        <v>168.20326266917937</v>
      </c>
      <c r="H61" s="62">
        <f ca="1">-H36-H43</f>
        <v>143.47557204700064</v>
      </c>
      <c r="I61" s="62">
        <f ca="1">-I36-I43</f>
        <v>40</v>
      </c>
      <c r="J61" s="62">
        <f ca="1">-J36-J43</f>
        <v>40</v>
      </c>
      <c r="K61" s="62">
        <f ca="1">-K36-K43</f>
        <v>220.78316837603768</v>
      </c>
      <c r="L61" s="62">
        <f ca="1">-L36-L43</f>
        <v>192.08406548808335</v>
      </c>
    </row>
    <row r="62" spans="3:12" outlineLevel="1" x14ac:dyDescent="0.45">
      <c r="C62" s="33" t="s">
        <v>11</v>
      </c>
      <c r="D62" s="24" t="s">
        <v>1</v>
      </c>
      <c r="E62" s="62">
        <f ca="1">-E34-E40-E42</f>
        <v>705.54119062052484</v>
      </c>
      <c r="F62" s="62">
        <f ca="1">-F34-F40-F42</f>
        <v>710.80093088026513</v>
      </c>
      <c r="G62" s="62">
        <f ca="1">-G34-G40-G42</f>
        <v>719.5671646464989</v>
      </c>
      <c r="H62" s="62">
        <f ca="1">-H34-H40-H42</f>
        <v>680.51948051948045</v>
      </c>
      <c r="I62" s="62">
        <f ca="1">-I34-I40-I42</f>
        <v>623.19056407822836</v>
      </c>
      <c r="J62" s="62">
        <f ca="1">-J34-J40-J42</f>
        <v>527.44570371043972</v>
      </c>
      <c r="K62" s="62">
        <f ca="1">-K34-K40-K42</f>
        <v>534.57481144107317</v>
      </c>
      <c r="L62" s="62">
        <f ca="1">-L34-L40-L42</f>
        <v>465.08664516597935</v>
      </c>
    </row>
    <row r="63" spans="3:12" outlineLevel="1" x14ac:dyDescent="0.45">
      <c r="C63" s="33" t="s">
        <v>74</v>
      </c>
      <c r="D63" s="24" t="s">
        <v>1</v>
      </c>
      <c r="E63" s="62">
        <f ca="1">-E45-E32</f>
        <v>67.572460957453188</v>
      </c>
      <c r="F63" s="62">
        <f t="shared" ref="F63:L63" ca="1" si="8">-F45-F32</f>
        <v>16.239178980762091</v>
      </c>
      <c r="G63" s="62">
        <f t="shared" ca="1" si="8"/>
        <v>18.824172404300612</v>
      </c>
      <c r="H63" s="62">
        <f t="shared" ca="1" si="8"/>
        <v>0</v>
      </c>
      <c r="I63" s="62">
        <f t="shared" ca="1" si="8"/>
        <v>95.797685239723137</v>
      </c>
      <c r="J63" s="62">
        <f t="shared" ca="1" si="8"/>
        <v>61.666415571576266</v>
      </c>
      <c r="K63" s="62">
        <f t="shared" ca="1" si="8"/>
        <v>64.207810457033588</v>
      </c>
      <c r="L63" s="62">
        <f t="shared" ca="1" si="8"/>
        <v>39.436565997856604</v>
      </c>
    </row>
    <row r="64" spans="3:12" outlineLevel="1" x14ac:dyDescent="0.45">
      <c r="C64" s="53" t="s">
        <v>12</v>
      </c>
      <c r="D64" s="38" t="s">
        <v>1</v>
      </c>
      <c r="E64" s="64">
        <f ca="1">-E46</f>
        <v>371.88634842202191</v>
      </c>
      <c r="F64" s="64">
        <f ca="1">-F46</f>
        <v>273.44835166671965</v>
      </c>
      <c r="G64" s="64">
        <f ca="1">-G46</f>
        <v>278.40540028002101</v>
      </c>
      <c r="H64" s="64">
        <f ca="1">-H46</f>
        <v>237.47680890538035</v>
      </c>
      <c r="I64" s="64">
        <f ca="1">-I46</f>
        <v>426.01175068204833</v>
      </c>
      <c r="J64" s="64">
        <f ca="1">-J46</f>
        <v>360.56076676925312</v>
      </c>
      <c r="K64" s="64">
        <f ca="1">-K46</f>
        <v>365.43420972585545</v>
      </c>
      <c r="L64" s="64">
        <f ca="1">-L46</f>
        <v>317.93224632510345</v>
      </c>
    </row>
    <row r="65" spans="2:15" outlineLevel="1" x14ac:dyDescent="0.45">
      <c r="C65" s="48" t="s">
        <v>4</v>
      </c>
      <c r="D65" s="24" t="s">
        <v>1</v>
      </c>
      <c r="E65" s="104">
        <f ca="1">SUM(E60:E64)</f>
        <v>1200</v>
      </c>
      <c r="F65" s="104">
        <f ca="1">SUM(F60:F64)</f>
        <v>1200</v>
      </c>
      <c r="G65" s="104">
        <f ca="1">SUM(G60:G64)</f>
        <v>1200</v>
      </c>
      <c r="H65" s="104">
        <f ca="1">SUM(H60:H64)</f>
        <v>1200</v>
      </c>
      <c r="I65" s="104">
        <f ca="1">SUM(I60:I64)</f>
        <v>1199.9999999999998</v>
      </c>
      <c r="J65" s="104">
        <f ca="1">SUM(J60:J64)</f>
        <v>1200</v>
      </c>
      <c r="K65" s="104">
        <f ca="1">SUM(K60:K64)</f>
        <v>1200</v>
      </c>
      <c r="L65" s="104">
        <f ca="1">SUM(L60:L64)</f>
        <v>1199.9999999999998</v>
      </c>
    </row>
    <row r="66" spans="2:15" outlineLevel="1" x14ac:dyDescent="0.45">
      <c r="E66" s="25"/>
      <c r="F66" s="25"/>
    </row>
    <row r="67" spans="2:15" outlineLevel="1" x14ac:dyDescent="0.45">
      <c r="C67" s="54" t="s">
        <v>44</v>
      </c>
      <c r="D67" s="24" t="s">
        <v>1</v>
      </c>
      <c r="E67" s="69">
        <f ca="1">SUM(E60:E62)</f>
        <v>760.54119062052484</v>
      </c>
      <c r="F67" s="69">
        <f ca="1">SUM(F60:F62)</f>
        <v>910.31246935251818</v>
      </c>
      <c r="G67" s="69">
        <f ca="1">SUM(G60:G62)</f>
        <v>902.77042731567826</v>
      </c>
      <c r="H67" s="69">
        <f ca="1">SUM(H60:H62)</f>
        <v>962.52319109461962</v>
      </c>
      <c r="I67" s="69">
        <f ca="1">SUM(I60:I62)</f>
        <v>678.19056407822836</v>
      </c>
      <c r="J67" s="69">
        <f ca="1">SUM(J60:J62)</f>
        <v>777.77281765917064</v>
      </c>
      <c r="K67" s="69">
        <f ca="1">SUM(K60:K62)</f>
        <v>770.35797981711085</v>
      </c>
      <c r="L67" s="69">
        <f ca="1">SUM(L60:L62)</f>
        <v>842.63118767703963</v>
      </c>
    </row>
    <row r="68" spans="2:15" outlineLevel="1" x14ac:dyDescent="0.45">
      <c r="C68" s="54" t="s">
        <v>41</v>
      </c>
      <c r="D68" s="24" t="s">
        <v>2</v>
      </c>
      <c r="E68" s="55">
        <f ca="1">IF(E67=MAX($E$67:$L$67),1,0)</f>
        <v>0</v>
      </c>
      <c r="F68" s="55">
        <f t="shared" ref="F68:L68" ca="1" si="9">IF(F67=MAX($E$67:$L$67),1,0)</f>
        <v>0</v>
      </c>
      <c r="G68" s="55">
        <f t="shared" ca="1" si="9"/>
        <v>0</v>
      </c>
      <c r="H68" s="55">
        <f t="shared" ca="1" si="9"/>
        <v>1</v>
      </c>
      <c r="I68" s="55">
        <f t="shared" ca="1" si="9"/>
        <v>0</v>
      </c>
      <c r="J68" s="55">
        <f t="shared" ca="1" si="9"/>
        <v>0</v>
      </c>
      <c r="K68" s="55">
        <f t="shared" ca="1" si="9"/>
        <v>0</v>
      </c>
      <c r="L68" s="55">
        <f t="shared" ca="1" si="9"/>
        <v>0</v>
      </c>
    </row>
    <row r="69" spans="2:15" outlineLevel="1" x14ac:dyDescent="0.45"/>
    <row r="70" spans="2:15" outlineLevel="1" x14ac:dyDescent="0.45">
      <c r="C70" s="26"/>
      <c r="D70" s="27" t="s">
        <v>72</v>
      </c>
      <c r="E70" s="27" t="s">
        <v>42</v>
      </c>
      <c r="F70" s="27"/>
      <c r="G70" s="85"/>
      <c r="H70" s="85"/>
      <c r="I70" s="105"/>
    </row>
    <row r="71" spans="2:15" outlineLevel="1" x14ac:dyDescent="0.45">
      <c r="C71" s="28" t="s">
        <v>7</v>
      </c>
      <c r="D71" s="29" t="s">
        <v>73</v>
      </c>
      <c r="E71" s="29" t="s">
        <v>43</v>
      </c>
      <c r="F71" s="29" t="s">
        <v>8</v>
      </c>
      <c r="G71" s="85"/>
      <c r="H71" s="85"/>
      <c r="I71" s="105"/>
      <c r="O71" s="60"/>
    </row>
    <row r="72" spans="2:15" outlineLevel="1" x14ac:dyDescent="0.45">
      <c r="C72" s="33" t="s">
        <v>46</v>
      </c>
      <c r="D72" s="69">
        <f ca="1">_xlfn.XLOOKUP(1,$E$68:$L$68,$E60:$L60)</f>
        <v>138.52813852813853</v>
      </c>
      <c r="E72" s="30">
        <f ca="1">D72/$D$77</f>
        <v>0.11544011544011544</v>
      </c>
      <c r="F72" s="56">
        <f ca="1">D72/D19</f>
        <v>9.2352092352092345</v>
      </c>
      <c r="G72" s="85"/>
      <c r="H72" s="85"/>
      <c r="I72" s="84"/>
    </row>
    <row r="73" spans="2:15" outlineLevel="1" x14ac:dyDescent="0.45">
      <c r="C73" s="33" t="s">
        <v>10</v>
      </c>
      <c r="D73" s="62">
        <f t="shared" ref="D73:D76" ca="1" si="10">_xlfn.XLOOKUP(1,$E$68:$L$68,$E61:$L61)</f>
        <v>143.47557204700064</v>
      </c>
      <c r="E73" s="30">
        <f ca="1">D73/$D$77</f>
        <v>0.11956297670583386</v>
      </c>
      <c r="F73" s="56">
        <f ca="1">D73/D20</f>
        <v>3.5868893011750158</v>
      </c>
      <c r="G73" s="85"/>
      <c r="H73" s="85"/>
      <c r="I73" s="84"/>
    </row>
    <row r="74" spans="2:15" outlineLevel="1" x14ac:dyDescent="0.45">
      <c r="C74" s="33" t="s">
        <v>11</v>
      </c>
      <c r="D74" s="62">
        <f t="shared" ca="1" si="10"/>
        <v>680.51948051948045</v>
      </c>
      <c r="E74" s="30">
        <f ca="1">D74/$D$77</f>
        <v>0.56709956709956699</v>
      </c>
      <c r="F74" s="56">
        <f ca="1">D74/D21</f>
        <v>3.4025974025974022</v>
      </c>
      <c r="G74" s="85"/>
      <c r="H74" s="85"/>
      <c r="I74" s="84"/>
    </row>
    <row r="75" spans="2:15" outlineLevel="1" x14ac:dyDescent="0.45">
      <c r="C75" s="33" t="s">
        <v>74</v>
      </c>
      <c r="D75" s="62">
        <f t="shared" ca="1" si="10"/>
        <v>0</v>
      </c>
      <c r="E75" s="30">
        <f ca="1">D75/$D$77</f>
        <v>0</v>
      </c>
      <c r="F75" s="36" t="s">
        <v>5</v>
      </c>
      <c r="G75" s="85"/>
      <c r="H75" s="85"/>
      <c r="I75" s="84"/>
    </row>
    <row r="76" spans="2:15" outlineLevel="1" x14ac:dyDescent="0.45">
      <c r="C76" s="33" t="s">
        <v>12</v>
      </c>
      <c r="D76" s="62">
        <f t="shared" ca="1" si="10"/>
        <v>237.47680890538035</v>
      </c>
      <c r="E76" s="30">
        <f ca="1">D76/$D$77</f>
        <v>0.19789734075448362</v>
      </c>
      <c r="F76" s="57" t="s">
        <v>5</v>
      </c>
      <c r="G76" s="85"/>
      <c r="H76" s="85"/>
      <c r="I76" s="106"/>
    </row>
    <row r="77" spans="2:15" outlineLevel="1" x14ac:dyDescent="0.45">
      <c r="C77" s="42" t="s">
        <v>4</v>
      </c>
      <c r="D77" s="66">
        <f ca="1">SUM(D72:D76)</f>
        <v>1200</v>
      </c>
      <c r="E77" s="45">
        <f ca="1">SUM(E72:E76)</f>
        <v>0.99999999999999989</v>
      </c>
      <c r="F77" s="58">
        <f ca="1">D77/D24</f>
        <v>4.7058823529411766</v>
      </c>
      <c r="G77" s="85"/>
      <c r="H77" s="85"/>
      <c r="I77" s="85"/>
    </row>
    <row r="79" spans="2:15" x14ac:dyDescent="0.45">
      <c r="B79" s="5" t="s">
        <v>6</v>
      </c>
      <c r="C79" s="5"/>
      <c r="D79" s="6"/>
      <c r="E79" s="7"/>
      <c r="F79" s="7"/>
      <c r="G79" s="8"/>
      <c r="H79" s="8"/>
      <c r="I79" s="8"/>
      <c r="J79" s="8"/>
      <c r="K79" s="8"/>
      <c r="L79" s="8"/>
      <c r="O79" s="60"/>
    </row>
    <row r="80" spans="2:15" outlineLevel="1" x14ac:dyDescent="0.45"/>
    <row r="81" spans="3:15" outlineLevel="1" x14ac:dyDescent="0.45">
      <c r="C81" s="15" t="s">
        <v>69</v>
      </c>
    </row>
    <row r="82" spans="3:15" outlineLevel="1" x14ac:dyDescent="0.45">
      <c r="O82" s="60"/>
    </row>
    <row r="83" spans="3:15" outlineLevel="1" x14ac:dyDescent="0.45">
      <c r="C83" s="9"/>
      <c r="D83" s="10"/>
      <c r="E83" s="11" t="s">
        <v>64</v>
      </c>
      <c r="F83" s="12"/>
      <c r="G83" s="12"/>
      <c r="H83" s="12"/>
      <c r="I83" s="13"/>
      <c r="J83" s="86"/>
      <c r="K83" s="86"/>
      <c r="L83" s="86"/>
    </row>
    <row r="84" spans="3:15" outlineLevel="1" x14ac:dyDescent="0.45">
      <c r="C84" s="14"/>
      <c r="D84" s="16">
        <f ca="1">SUM($D$72:$D$74)</f>
        <v>962.52319109461962</v>
      </c>
      <c r="E84" s="97">
        <v>400</v>
      </c>
      <c r="F84" s="98">
        <f>E84+50</f>
        <v>450</v>
      </c>
      <c r="G84" s="99">
        <f t="shared" ref="G84:I84" si="11">F84+50</f>
        <v>500</v>
      </c>
      <c r="H84" s="98">
        <f t="shared" si="11"/>
        <v>550</v>
      </c>
      <c r="I84" s="103">
        <f t="shared" si="11"/>
        <v>600</v>
      </c>
      <c r="J84" s="81"/>
      <c r="K84" s="81"/>
      <c r="L84" s="81"/>
    </row>
    <row r="85" spans="3:15" outlineLevel="1" x14ac:dyDescent="0.45">
      <c r="C85" s="67" t="s">
        <v>68</v>
      </c>
      <c r="D85" s="87">
        <v>5</v>
      </c>
      <c r="E85" s="101">
        <f t="dataTable" ref="E85:I89" dt2D="1" dtr="1" r1="E10" r2="E11" ca="1"/>
        <v>1206.0757383241757</v>
      </c>
      <c r="F85" s="102">
        <v>1315.6650240384615</v>
      </c>
      <c r="G85" s="78">
        <v>1425.2543097527473</v>
      </c>
      <c r="H85" s="77">
        <v>1573.2225605898411</v>
      </c>
      <c r="I85" s="102">
        <v>1732.046772092624</v>
      </c>
      <c r="J85" s="82"/>
      <c r="K85" s="82"/>
      <c r="L85" s="82"/>
    </row>
    <row r="86" spans="3:15" outlineLevel="1" x14ac:dyDescent="0.45">
      <c r="C86" s="90"/>
      <c r="D86" s="89">
        <f>D85-0.5</f>
        <v>4.5</v>
      </c>
      <c r="E86" s="95">
        <v>1115.5718184748134</v>
      </c>
      <c r="F86" s="96">
        <v>1217.0346668956045</v>
      </c>
      <c r="G86" s="79">
        <v>1315.6650240384615</v>
      </c>
      <c r="H86" s="96">
        <v>1414.2953811813186</v>
      </c>
      <c r="I86" s="96">
        <v>1541.4577182892845</v>
      </c>
      <c r="J86" s="83"/>
      <c r="K86" s="83"/>
      <c r="L86" s="83"/>
    </row>
    <row r="87" spans="3:15" outlineLevel="1" x14ac:dyDescent="0.45">
      <c r="C87" s="90"/>
      <c r="D87" s="88">
        <f t="shared" ref="D87:D89" si="12">D86-0.5</f>
        <v>4</v>
      </c>
      <c r="E87" s="93">
        <v>988.51244927258711</v>
      </c>
      <c r="F87" s="79">
        <v>1115.5718184748134</v>
      </c>
      <c r="G87" s="79">
        <v>1206.0757383241757</v>
      </c>
      <c r="H87" s="79">
        <v>1293.7471668956043</v>
      </c>
      <c r="I87" s="79">
        <v>1381.4185954670329</v>
      </c>
      <c r="J87" s="84"/>
      <c r="K87" s="84"/>
      <c r="L87" s="84"/>
    </row>
    <row r="88" spans="3:15" outlineLevel="1" x14ac:dyDescent="0.45">
      <c r="C88" s="90"/>
      <c r="D88" s="89">
        <f t="shared" si="12"/>
        <v>3.5</v>
      </c>
      <c r="E88" s="94">
        <v>821.89239332096463</v>
      </c>
      <c r="F88" s="96">
        <v>944.94434137291273</v>
      </c>
      <c r="G88" s="79">
        <v>1067.9962894248606</v>
      </c>
      <c r="H88" s="62">
        <v>1173.1989526098901</v>
      </c>
      <c r="I88" s="96">
        <v>1249.9114526098901</v>
      </c>
      <c r="J88" s="84"/>
      <c r="K88" s="84"/>
      <c r="L88" s="84"/>
      <c r="O88" s="60"/>
    </row>
    <row r="89" spans="3:15" outlineLevel="1" x14ac:dyDescent="0.45">
      <c r="C89" s="91"/>
      <c r="D89" s="92">
        <f t="shared" si="12"/>
        <v>3</v>
      </c>
      <c r="E89" s="94">
        <v>681.26159554730987</v>
      </c>
      <c r="F89" s="96">
        <v>786.73469387755097</v>
      </c>
      <c r="G89" s="79">
        <v>892.20779220779218</v>
      </c>
      <c r="H89" s="62">
        <v>997.68089053803328</v>
      </c>
      <c r="I89" s="96">
        <v>1103.1539888682746</v>
      </c>
      <c r="J89" s="84"/>
      <c r="K89" s="84"/>
      <c r="L89" s="84"/>
      <c r="O89" s="60"/>
    </row>
    <row r="90" spans="3:15" outlineLevel="1" x14ac:dyDescent="0.45">
      <c r="J90" s="85"/>
      <c r="K90" s="85"/>
      <c r="L90" s="85"/>
    </row>
  </sheetData>
  <mergeCells count="1">
    <mergeCell ref="C85:C89"/>
  </mergeCells>
  <dataValidations count="1">
    <dataValidation type="whole" allowBlank="1" showInputMessage="1" showErrorMessage="1" sqref="E7" xr:uid="{2A390F85-10B3-4DDD-84DB-DA5657FC0B79}">
      <formula1>0</formula1>
      <formula2>1</formula2>
    </dataValidation>
  </dataValidations>
  <pageMargins left="0.7" right="0.7" top="0.75" bottom="0.75" header="0.3" footer="0.3"/>
  <pageSetup scale="26" orientation="portrait" horizontalDpi="1200" verticalDpi="1200" r:id="rId1"/>
  <rowBreaks count="1" manualBreakCount="1">
    <brk id="48" max="20" man="1"/>
  </rowBreaks>
  <ignoredErrors>
    <ignoredError sqref="E34:E35 F34:H34 I34:L37 E39:E41 I39:L40 E36:E37 E38:L3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Funds_Flow</vt:lpstr>
      <vt:lpstr>Circ_Ref</vt:lpstr>
      <vt:lpstr>Funds_Flow!Print_Area</vt:lpstr>
      <vt:lpstr>Units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BIWS</dc:creator>
  <cp:lastModifiedBy>Brian DeChesare</cp:lastModifiedBy>
  <cp:lastPrinted>2023-08-19T22:48:37Z</cp:lastPrinted>
  <dcterms:created xsi:type="dcterms:W3CDTF">2016-08-02T00:46:07Z</dcterms:created>
  <dcterms:modified xsi:type="dcterms:W3CDTF">2026-02-17T00:04:13Z</dcterms:modified>
</cp:coreProperties>
</file>